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jcampbell\Dropbox\Postdoc Work\COVID-19\Paper\Revision 1\"/>
    </mc:Choice>
  </mc:AlternateContent>
  <xr:revisionPtr revIDLastSave="0" documentId="8_{9E5CB21B-06CE-419F-9A12-FF9D02FD62F0}" xr6:coauthVersionLast="45" xr6:coauthVersionMax="45" xr10:uidLastSave="{00000000-0000-0000-0000-000000000000}"/>
  <bookViews>
    <workbookView xWindow="-120" yWindow="-120" windowWidth="38640" windowHeight="15840" tabRatio="769" xr2:uid="{D4D8E487-DA02-8441-9407-20AC7E47B950}"/>
  </bookViews>
  <sheets>
    <sheet name="DASHBOARD" sheetId="5" r:id="rId1"/>
    <sheet name="Current Strategy" sheetId="10" r:id="rId2"/>
    <sheet name="Expanded Contact Investigaton" sheetId="11" r:id="rId3"/>
    <sheet name="Testing CHW LTCF Employees+Res" sheetId="9" r:id="rId4"/>
    <sheet name="Testing Hospital Employees" sheetId="7" r:id="rId5"/>
    <sheet name="Testing Essential Workers" sheetId="4" r:id="rId6"/>
    <sheet name="Testing Schoolchildren &amp; Staff" sheetId="8" r:id="rId7"/>
  </sheets>
  <definedNames>
    <definedName name="_xlnm._FilterDatabase" localSheetId="1" hidden="1">'Current Strategy'!$B$11:$N$302</definedName>
    <definedName name="_xlnm._FilterDatabase" localSheetId="2" hidden="1">'Expanded Contact Investigaton'!$B$12:$N$285</definedName>
    <definedName name="_xlnm._FilterDatabase" localSheetId="5" hidden="1">'Testing Essential Workers'!$B$16:$N$362</definedName>
    <definedName name="solver_eng" localSheetId="0" hidden="1">1</definedName>
    <definedName name="solver_lin" localSheetId="0" hidden="1">2</definedName>
    <definedName name="solver_neg" localSheetId="0" hidden="1">1</definedName>
    <definedName name="solver_num" localSheetId="0" hidden="1">0</definedName>
    <definedName name="solver_opt" localSheetId="0" hidden="1">DASHBOARD!$I$18</definedName>
    <definedName name="solver_typ" localSheetId="0" hidden="1">1</definedName>
    <definedName name="solver_val" localSheetId="0" hidden="1">0</definedName>
    <definedName name="solver_ver" localSheetId="0" hidden="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7" i="5" l="1"/>
  <c r="I54" i="5"/>
  <c r="I41" i="5"/>
  <c r="I30" i="5"/>
  <c r="F122" i="5"/>
  <c r="D76" i="5"/>
  <c r="D75" i="5"/>
  <c r="D63" i="5"/>
  <c r="D62" i="5"/>
  <c r="D61" i="5"/>
  <c r="D158" i="5" l="1"/>
  <c r="D157" i="5"/>
  <c r="D156" i="5"/>
  <c r="D155" i="5"/>
  <c r="D154" i="5"/>
  <c r="D153" i="5"/>
  <c r="D151" i="5"/>
  <c r="D150" i="5"/>
  <c r="D149" i="5"/>
  <c r="D148" i="5"/>
  <c r="D147" i="5"/>
  <c r="D146" i="5"/>
  <c r="D145" i="5"/>
  <c r="D144" i="5"/>
  <c r="D143" i="5"/>
  <c r="D142" i="5"/>
  <c r="D141" i="5"/>
  <c r="D140" i="5"/>
  <c r="D109" i="5"/>
  <c r="D108" i="5"/>
  <c r="D65" i="5"/>
  <c r="D64" i="5"/>
  <c r="D58" i="5"/>
  <c r="D57" i="5" l="1"/>
  <c r="D56" i="5"/>
  <c r="D55" i="5"/>
  <c r="D54" i="5"/>
  <c r="D53" i="5"/>
  <c r="D52" i="5"/>
  <c r="D51" i="5"/>
  <c r="D50" i="5"/>
  <c r="D49" i="5"/>
  <c r="D48" i="5"/>
  <c r="D47" i="5"/>
  <c r="D46" i="5"/>
  <c r="D45" i="5"/>
  <c r="D44" i="5"/>
  <c r="D43" i="5"/>
  <c r="D42" i="5"/>
  <c r="D41" i="5"/>
  <c r="D40" i="5"/>
  <c r="D39" i="5"/>
  <c r="D38" i="5"/>
  <c r="D37" i="5"/>
  <c r="D36" i="5"/>
  <c r="D35" i="5"/>
  <c r="I13" i="11"/>
  <c r="D107" i="5"/>
  <c r="D106" i="5"/>
  <c r="G105" i="5"/>
  <c r="E105" i="5"/>
  <c r="D105" i="5"/>
  <c r="I21" i="5" l="1"/>
  <c r="D80" i="5" s="1"/>
  <c r="I23" i="5" l="1"/>
  <c r="D81" i="5" s="1"/>
  <c r="I22" i="5"/>
  <c r="F81" i="5" l="1"/>
  <c r="I24" i="5"/>
  <c r="I20" i="5"/>
  <c r="F80" i="5" l="1"/>
  <c r="F97" i="5"/>
  <c r="J182" i="10" l="1"/>
  <c r="D139" i="5"/>
  <c r="F139" i="5" s="1"/>
  <c r="F103" i="5"/>
  <c r="D103" i="5" s="1"/>
  <c r="F102" i="5"/>
  <c r="D102" i="5" s="1"/>
  <c r="F101" i="5"/>
  <c r="D101" i="5" s="1"/>
  <c r="F98" i="5"/>
  <c r="D98" i="5" s="1"/>
  <c r="D97" i="5"/>
  <c r="F119" i="5"/>
  <c r="D119" i="5" s="1"/>
  <c r="D112" i="5"/>
  <c r="D74" i="5"/>
  <c r="D337" i="8" l="1"/>
  <c r="D274" i="10"/>
  <c r="D266" i="11"/>
  <c r="D338" i="9"/>
  <c r="D326" i="7"/>
  <c r="D337" i="4"/>
  <c r="D288" i="10"/>
  <c r="D147" i="11"/>
  <c r="D270" i="11"/>
  <c r="D342" i="9"/>
  <c r="D330" i="7"/>
  <c r="D224" i="8"/>
  <c r="D212" i="7"/>
  <c r="D323" i="8"/>
  <c r="D292" i="10"/>
  <c r="D224" i="9"/>
  <c r="D224" i="4"/>
  <c r="D24" i="11"/>
  <c r="D252" i="11"/>
  <c r="D324" i="9"/>
  <c r="D312" i="7"/>
  <c r="D323" i="4"/>
  <c r="J143" i="4"/>
  <c r="J117" i="4" s="1"/>
  <c r="F159" i="5"/>
  <c r="D159" i="5" s="1"/>
  <c r="F152" i="5"/>
  <c r="D152" i="5" s="1"/>
  <c r="I231" i="11" s="1"/>
  <c r="I182" i="10"/>
  <c r="K182" i="10" s="1"/>
  <c r="J339" i="4"/>
  <c r="J170" i="4"/>
  <c r="J171" i="4" s="1"/>
  <c r="I314" i="4"/>
  <c r="J290" i="10"/>
  <c r="J294" i="10" l="1"/>
  <c r="I196" i="10"/>
  <c r="I224" i="10"/>
  <c r="J293" i="10"/>
  <c r="J15" i="11" s="1"/>
  <c r="J55" i="11"/>
  <c r="J56" i="11" s="1"/>
  <c r="I160" i="11"/>
  <c r="I189" i="11"/>
  <c r="I216" i="11"/>
  <c r="J197" i="4"/>
  <c r="J198" i="4" s="1"/>
  <c r="I259" i="4"/>
  <c r="I287" i="4"/>
  <c r="I315" i="4"/>
  <c r="J352" i="4"/>
  <c r="I223" i="10"/>
  <c r="J90" i="10"/>
  <c r="I161" i="11"/>
  <c r="I188" i="11"/>
  <c r="I217" i="11"/>
  <c r="J268" i="11"/>
  <c r="J118" i="4"/>
  <c r="J119" i="4" s="1"/>
  <c r="I244" i="4"/>
  <c r="I273" i="4"/>
  <c r="I300" i="4"/>
  <c r="J17" i="10"/>
  <c r="J41" i="10" s="1"/>
  <c r="J42" i="10" s="1"/>
  <c r="I209" i="10"/>
  <c r="J85" i="11"/>
  <c r="J86" i="11" s="1"/>
  <c r="I174" i="11"/>
  <c r="I202" i="11"/>
  <c r="I230" i="11"/>
  <c r="J273" i="11"/>
  <c r="I245" i="4"/>
  <c r="I272" i="4"/>
  <c r="I301" i="4"/>
  <c r="J65" i="10"/>
  <c r="J64" i="10" s="1"/>
  <c r="I195" i="10"/>
  <c r="I210" i="10"/>
  <c r="J116" i="11"/>
  <c r="J117" i="11" s="1"/>
  <c r="I175" i="11"/>
  <c r="I203" i="11"/>
  <c r="I258" i="4"/>
  <c r="I286" i="4"/>
  <c r="J342" i="4"/>
  <c r="J18" i="10" l="1"/>
  <c r="J16" i="10"/>
  <c r="J115" i="11"/>
  <c r="J25" i="11"/>
  <c r="J26" i="11" s="1"/>
  <c r="J54" i="11"/>
  <c r="J24" i="11" s="1"/>
  <c r="J89" i="10"/>
  <c r="J91" i="10"/>
  <c r="J84" i="11"/>
  <c r="J66" i="10"/>
  <c r="D120" i="5" l="1"/>
  <c r="F120" i="5" s="1"/>
  <c r="D96" i="5" l="1"/>
  <c r="F96" i="5" s="1"/>
  <c r="D95" i="5"/>
  <c r="F95" i="5" s="1"/>
  <c r="D94" i="5"/>
  <c r="F94" i="5" s="1"/>
  <c r="D93" i="5"/>
  <c r="F93" i="5" s="1"/>
  <c r="D92" i="5"/>
  <c r="F92" i="5" s="1"/>
  <c r="D91" i="5"/>
  <c r="F91" i="5" s="1"/>
  <c r="D90" i="5"/>
  <c r="F90" i="5" s="1"/>
  <c r="D89" i="5"/>
  <c r="F89" i="5" s="1"/>
  <c r="D88" i="5"/>
  <c r="F88" i="5" s="1"/>
  <c r="D86" i="5"/>
  <c r="D85" i="5"/>
  <c r="D84" i="5"/>
  <c r="D83" i="5"/>
  <c r="F85" i="5" l="1"/>
  <c r="F86" i="5"/>
  <c r="F83" i="5"/>
  <c r="F87" i="5"/>
  <c r="F84" i="5"/>
  <c r="I25" i="5"/>
  <c r="D82" i="5"/>
  <c r="F82" i="5" l="1"/>
  <c r="C13" i="4"/>
  <c r="D136" i="5" l="1"/>
  <c r="C4" i="9" l="1"/>
  <c r="C5" i="9" s="1"/>
  <c r="D23" i="9" l="1"/>
  <c r="D117" i="9"/>
  <c r="D169" i="9"/>
  <c r="J97" i="10"/>
  <c r="J155" i="8"/>
  <c r="H150" i="8"/>
  <c r="H149" i="8"/>
  <c r="J148" i="8"/>
  <c r="K148" i="8" s="1"/>
  <c r="J147" i="8"/>
  <c r="J146" i="8"/>
  <c r="J145" i="8"/>
  <c r="J144" i="8"/>
  <c r="J143" i="8"/>
  <c r="J117" i="8" s="1"/>
  <c r="J129" i="8"/>
  <c r="H124" i="8"/>
  <c r="H123" i="8"/>
  <c r="J122" i="8"/>
  <c r="J121" i="8"/>
  <c r="K122" i="8" s="1"/>
  <c r="J120" i="8"/>
  <c r="J119" i="8"/>
  <c r="J118" i="8"/>
  <c r="J155" i="4"/>
  <c r="H150" i="4"/>
  <c r="H149" i="4"/>
  <c r="J148" i="4"/>
  <c r="K148" i="4" s="1"/>
  <c r="J147" i="4"/>
  <c r="J146" i="4"/>
  <c r="J129" i="4"/>
  <c r="H124" i="4"/>
  <c r="H123" i="4"/>
  <c r="J122" i="4"/>
  <c r="K122" i="4" s="1"/>
  <c r="J121" i="4"/>
  <c r="J120" i="4"/>
  <c r="J146" i="7"/>
  <c r="H141" i="7"/>
  <c r="H140" i="7"/>
  <c r="J139" i="7"/>
  <c r="K139" i="7" s="1"/>
  <c r="J138" i="7"/>
  <c r="J137" i="7"/>
  <c r="J136" i="7"/>
  <c r="J135" i="7"/>
  <c r="J109" i="7" s="1"/>
  <c r="J134" i="7"/>
  <c r="J121" i="7"/>
  <c r="H116" i="7"/>
  <c r="H115" i="7"/>
  <c r="J114" i="7"/>
  <c r="K114" i="7" s="1"/>
  <c r="J113" i="7"/>
  <c r="J112" i="7"/>
  <c r="J111" i="7"/>
  <c r="J110" i="7"/>
  <c r="J155" i="9"/>
  <c r="H150" i="9"/>
  <c r="H149" i="9"/>
  <c r="J148" i="9"/>
  <c r="K148" i="9" s="1"/>
  <c r="J147" i="9"/>
  <c r="J146" i="9"/>
  <c r="J145" i="9"/>
  <c r="J144" i="9"/>
  <c r="J143" i="9"/>
  <c r="J117" i="9" s="1"/>
  <c r="L130" i="9"/>
  <c r="J129" i="9"/>
  <c r="H124" i="9"/>
  <c r="L124" i="9" s="1"/>
  <c r="H123" i="9"/>
  <c r="L123" i="9" s="1"/>
  <c r="J122" i="9"/>
  <c r="K122" i="9" s="1"/>
  <c r="J121" i="9"/>
  <c r="J120" i="9"/>
  <c r="J119" i="9"/>
  <c r="J118" i="9"/>
  <c r="F232" i="9" l="1"/>
  <c r="J66" i="11"/>
  <c r="H61" i="11"/>
  <c r="H60" i="11"/>
  <c r="J59" i="11"/>
  <c r="J58" i="11"/>
  <c r="J57" i="11"/>
  <c r="J36" i="11"/>
  <c r="H31" i="11"/>
  <c r="L31" i="11" s="1"/>
  <c r="H30" i="11"/>
  <c r="L30" i="11" s="1"/>
  <c r="J29" i="11"/>
  <c r="J28" i="11"/>
  <c r="J27" i="11"/>
  <c r="J52" i="10"/>
  <c r="H47" i="10"/>
  <c r="H46" i="10"/>
  <c r="J45" i="10"/>
  <c r="J44" i="10"/>
  <c r="J43" i="10"/>
  <c r="J21" i="10"/>
  <c r="J20" i="10"/>
  <c r="J19" i="10"/>
  <c r="H23" i="10"/>
  <c r="H22" i="10"/>
  <c r="J75" i="10"/>
  <c r="J73" i="10"/>
  <c r="J72" i="10"/>
  <c r="C8" i="8" l="1"/>
  <c r="E103" i="5"/>
  <c r="G103" i="5"/>
  <c r="F253" i="8" l="1"/>
  <c r="H222" i="9" l="1"/>
  <c r="H221" i="9"/>
  <c r="H219" i="9"/>
  <c r="J216" i="9"/>
  <c r="J219" i="9" s="1"/>
  <c r="J212" i="9"/>
  <c r="J210" i="9"/>
  <c r="J208" i="9"/>
  <c r="J206" i="9"/>
  <c r="J205" i="9"/>
  <c r="H205" i="9"/>
  <c r="H204" i="9"/>
  <c r="L201" i="9"/>
  <c r="J196" i="9"/>
  <c r="J204" i="9" s="1"/>
  <c r="H195" i="9"/>
  <c r="H194" i="9"/>
  <c r="H192" i="9"/>
  <c r="J189" i="9"/>
  <c r="J192" i="9" s="1"/>
  <c r="J185" i="9"/>
  <c r="J183" i="9"/>
  <c r="J181" i="9"/>
  <c r="J179" i="9"/>
  <c r="J178" i="9"/>
  <c r="H178" i="9"/>
  <c r="H177" i="9"/>
  <c r="L174" i="9"/>
  <c r="J169" i="9"/>
  <c r="J180" i="9" s="1"/>
  <c r="H168" i="9"/>
  <c r="H167" i="9"/>
  <c r="H165" i="9"/>
  <c r="J162" i="9"/>
  <c r="J165" i="9" s="1"/>
  <c r="J158" i="9"/>
  <c r="L156" i="9"/>
  <c r="H142" i="9"/>
  <c r="H141" i="9"/>
  <c r="H139" i="9"/>
  <c r="J136" i="9"/>
  <c r="J139" i="9" s="1"/>
  <c r="J132" i="9"/>
  <c r="H116" i="9"/>
  <c r="H115" i="9"/>
  <c r="H113" i="9"/>
  <c r="J110" i="9"/>
  <c r="J113" i="9" s="1"/>
  <c r="J106" i="9"/>
  <c r="J103" i="9"/>
  <c r="H100" i="9"/>
  <c r="H99" i="9"/>
  <c r="H98" i="9"/>
  <c r="L98" i="9" s="1"/>
  <c r="H97" i="9"/>
  <c r="L97" i="9" s="1"/>
  <c r="I94" i="9"/>
  <c r="H94" i="9"/>
  <c r="H93" i="9"/>
  <c r="H92" i="9"/>
  <c r="H90" i="9"/>
  <c r="J87" i="9"/>
  <c r="J91" i="9" s="1"/>
  <c r="J83" i="9"/>
  <c r="J80" i="9"/>
  <c r="H77" i="9"/>
  <c r="H76" i="9"/>
  <c r="H75" i="9"/>
  <c r="L75" i="9" s="1"/>
  <c r="I71" i="9"/>
  <c r="H71" i="9"/>
  <c r="H70" i="9"/>
  <c r="H69" i="9"/>
  <c r="H67" i="9"/>
  <c r="J64" i="9"/>
  <c r="J67" i="9" s="1"/>
  <c r="J60" i="9"/>
  <c r="J58" i="9"/>
  <c r="J56" i="9"/>
  <c r="H53" i="9"/>
  <c r="H52" i="9"/>
  <c r="H50" i="9"/>
  <c r="L50" i="9" s="1"/>
  <c r="I47" i="9"/>
  <c r="H47" i="9"/>
  <c r="H46" i="9"/>
  <c r="H45" i="9"/>
  <c r="H43" i="9"/>
  <c r="J40" i="9"/>
  <c r="J44" i="9" s="1"/>
  <c r="J36" i="9"/>
  <c r="J34" i="9"/>
  <c r="J32" i="9"/>
  <c r="H29" i="9"/>
  <c r="H28" i="9"/>
  <c r="H26" i="9"/>
  <c r="L26" i="9" s="1"/>
  <c r="I23" i="9"/>
  <c r="H23" i="9"/>
  <c r="L205" i="9" l="1"/>
  <c r="J68" i="9"/>
  <c r="J114" i="9"/>
  <c r="J193" i="9"/>
  <c r="L204" i="9"/>
  <c r="L149" i="9"/>
  <c r="L178" i="9"/>
  <c r="J166" i="9"/>
  <c r="J43" i="9"/>
  <c r="L150" i="9"/>
  <c r="J177" i="9"/>
  <c r="L177" i="9" s="1"/>
  <c r="J90" i="9"/>
  <c r="J207" i="9"/>
  <c r="J140" i="9"/>
  <c r="J220" i="9"/>
  <c r="H98" i="4" l="1"/>
  <c r="H71" i="4"/>
  <c r="H75" i="4"/>
  <c r="H76" i="4"/>
  <c r="H77" i="4"/>
  <c r="H53" i="4"/>
  <c r="H52" i="4"/>
  <c r="H50" i="4"/>
  <c r="H47" i="4"/>
  <c r="H29" i="4"/>
  <c r="H28" i="4"/>
  <c r="H23" i="4"/>
  <c r="J16" i="11" l="1"/>
  <c r="J274" i="11"/>
  <c r="J343" i="4"/>
  <c r="J353" i="4"/>
  <c r="I232" i="9" l="1"/>
  <c r="K19" i="8" l="1"/>
  <c r="K20" i="8"/>
  <c r="D233" i="9" l="1"/>
  <c r="D232" i="8"/>
  <c r="D232" i="4"/>
  <c r="D221" i="7"/>
  <c r="D148" i="11"/>
  <c r="H331" i="8" l="1"/>
  <c r="I330" i="8"/>
  <c r="H331" i="4"/>
  <c r="I330" i="4"/>
  <c r="H320" i="7"/>
  <c r="I319" i="7"/>
  <c r="H332" i="9"/>
  <c r="I331" i="9"/>
  <c r="H282" i="10"/>
  <c r="I281" i="10"/>
  <c r="H222" i="8"/>
  <c r="H221" i="8"/>
  <c r="H219" i="8"/>
  <c r="J216" i="8"/>
  <c r="J219" i="8" s="1"/>
  <c r="H195" i="8"/>
  <c r="H194" i="8"/>
  <c r="H192" i="8"/>
  <c r="J189" i="8"/>
  <c r="J192" i="8" s="1"/>
  <c r="H168" i="8"/>
  <c r="H167" i="8"/>
  <c r="H165" i="8"/>
  <c r="J162" i="8"/>
  <c r="J165" i="8" s="1"/>
  <c r="H142" i="8"/>
  <c r="H141" i="8"/>
  <c r="H139" i="8"/>
  <c r="J136" i="8"/>
  <c r="J139" i="8" s="1"/>
  <c r="H116" i="8"/>
  <c r="H115" i="8"/>
  <c r="H113" i="8"/>
  <c r="J110" i="8"/>
  <c r="J113" i="8" s="1"/>
  <c r="H94" i="8"/>
  <c r="H93" i="8"/>
  <c r="H91" i="8"/>
  <c r="J88" i="8"/>
  <c r="J91" i="8" s="1"/>
  <c r="H72" i="8"/>
  <c r="H71" i="8"/>
  <c r="H69" i="8"/>
  <c r="J66" i="8"/>
  <c r="J69" i="8" s="1"/>
  <c r="H48" i="8"/>
  <c r="H47" i="8"/>
  <c r="H45" i="8"/>
  <c r="J42" i="8"/>
  <c r="J45" i="8" s="1"/>
  <c r="H222" i="4"/>
  <c r="H221" i="4"/>
  <c r="H219" i="4"/>
  <c r="J216" i="4"/>
  <c r="J219" i="4" s="1"/>
  <c r="H195" i="4"/>
  <c r="H194" i="4"/>
  <c r="H192" i="4"/>
  <c r="J189" i="4"/>
  <c r="J192" i="4" s="1"/>
  <c r="H168" i="4"/>
  <c r="H167" i="4"/>
  <c r="H165" i="4"/>
  <c r="J162" i="4"/>
  <c r="J165" i="4" s="1"/>
  <c r="H142" i="4"/>
  <c r="H141" i="4"/>
  <c r="H139" i="4"/>
  <c r="J136" i="4"/>
  <c r="J139" i="4" s="1"/>
  <c r="H116" i="4"/>
  <c r="H115" i="4"/>
  <c r="H113" i="4"/>
  <c r="J110" i="4"/>
  <c r="J113" i="4" s="1"/>
  <c r="H93" i="4"/>
  <c r="H92" i="4"/>
  <c r="H90" i="4"/>
  <c r="J87" i="4"/>
  <c r="J90" i="4" s="1"/>
  <c r="H70" i="4"/>
  <c r="H69" i="4"/>
  <c r="H67" i="4"/>
  <c r="J64" i="4"/>
  <c r="J67" i="4" s="1"/>
  <c r="H46" i="4"/>
  <c r="H45" i="4"/>
  <c r="H43" i="4"/>
  <c r="J40" i="4"/>
  <c r="J43" i="4" s="1"/>
  <c r="H210" i="7"/>
  <c r="H209" i="7"/>
  <c r="H207" i="7"/>
  <c r="J204" i="7"/>
  <c r="J208" i="7" s="1"/>
  <c r="H184" i="7"/>
  <c r="H183" i="7"/>
  <c r="H181" i="7"/>
  <c r="J178" i="7"/>
  <c r="J181" i="7" s="1"/>
  <c r="H158" i="7"/>
  <c r="H157" i="7"/>
  <c r="H155" i="7"/>
  <c r="J152" i="7"/>
  <c r="J155" i="7" s="1"/>
  <c r="H133" i="7"/>
  <c r="H132" i="7"/>
  <c r="H130" i="7"/>
  <c r="J127" i="7"/>
  <c r="J130" i="7" s="1"/>
  <c r="H108" i="7"/>
  <c r="H107" i="7"/>
  <c r="H105" i="7"/>
  <c r="J102" i="7"/>
  <c r="J105" i="7" s="1"/>
  <c r="H87" i="7"/>
  <c r="H86" i="7"/>
  <c r="H84" i="7"/>
  <c r="J81" i="7"/>
  <c r="J84" i="7" s="1"/>
  <c r="H66" i="7"/>
  <c r="H65" i="7"/>
  <c r="H63" i="7"/>
  <c r="J60" i="7"/>
  <c r="J63" i="7" s="1"/>
  <c r="H44" i="7"/>
  <c r="H43" i="7"/>
  <c r="H41" i="7"/>
  <c r="J38" i="7"/>
  <c r="J41" i="7" s="1"/>
  <c r="H173" i="10"/>
  <c r="H172" i="10"/>
  <c r="H170" i="10"/>
  <c r="J167" i="10"/>
  <c r="J170" i="10" s="1"/>
  <c r="H143" i="10"/>
  <c r="H142" i="10"/>
  <c r="H140" i="10"/>
  <c r="J137" i="10"/>
  <c r="J140" i="10" s="1"/>
  <c r="H113" i="10"/>
  <c r="H112" i="10"/>
  <c r="H110" i="10"/>
  <c r="J107" i="10"/>
  <c r="J110" i="10" s="1"/>
  <c r="H88" i="10"/>
  <c r="H87" i="10"/>
  <c r="H85" i="10"/>
  <c r="J82" i="10"/>
  <c r="J85" i="10" s="1"/>
  <c r="H63" i="10"/>
  <c r="H62" i="10"/>
  <c r="H60" i="10"/>
  <c r="J57" i="10"/>
  <c r="J60" i="10" s="1"/>
  <c r="H39" i="10"/>
  <c r="H38" i="10"/>
  <c r="H36" i="10"/>
  <c r="J33" i="10"/>
  <c r="J36" i="10" s="1"/>
  <c r="J40" i="10"/>
  <c r="D118" i="5"/>
  <c r="D117" i="5"/>
  <c r="H114" i="11"/>
  <c r="H113" i="11"/>
  <c r="H111" i="11"/>
  <c r="J108" i="11"/>
  <c r="J111" i="11" s="1"/>
  <c r="H83" i="11"/>
  <c r="H82" i="11"/>
  <c r="H80" i="11"/>
  <c r="J77" i="11"/>
  <c r="J80" i="11" s="1"/>
  <c r="I328" i="8" l="1"/>
  <c r="I317" i="7"/>
  <c r="I329" i="9"/>
  <c r="I279" i="10"/>
  <c r="I328" i="4"/>
  <c r="I329" i="4"/>
  <c r="J332" i="4" s="1"/>
  <c r="I329" i="8"/>
  <c r="I324" i="8" s="1"/>
  <c r="I318" i="7"/>
  <c r="I330" i="9"/>
  <c r="I280" i="10"/>
  <c r="H335" i="8"/>
  <c r="H324" i="7"/>
  <c r="H336" i="9"/>
  <c r="H286" i="10"/>
  <c r="H335" i="4"/>
  <c r="J207" i="7"/>
  <c r="J166" i="8"/>
  <c r="J220" i="8"/>
  <c r="J193" i="8"/>
  <c r="J140" i="8"/>
  <c r="J114" i="8"/>
  <c r="J92" i="8"/>
  <c r="J70" i="8"/>
  <c r="J46" i="8"/>
  <c r="J220" i="4"/>
  <c r="J193" i="4"/>
  <c r="J166" i="4"/>
  <c r="J140" i="4"/>
  <c r="J114" i="4"/>
  <c r="J91" i="4"/>
  <c r="J68" i="4"/>
  <c r="J44" i="4"/>
  <c r="J182" i="7"/>
  <c r="J156" i="7"/>
  <c r="J131" i="7"/>
  <c r="J106" i="7"/>
  <c r="J85" i="7"/>
  <c r="J64" i="7"/>
  <c r="J42" i="7"/>
  <c r="J171" i="10"/>
  <c r="J141" i="10"/>
  <c r="J111" i="10"/>
  <c r="J86" i="10"/>
  <c r="J61" i="10"/>
  <c r="L46" i="10"/>
  <c r="J37" i="10"/>
  <c r="J112" i="11"/>
  <c r="J81" i="11"/>
  <c r="J320" i="7" l="1"/>
  <c r="J333" i="9"/>
  <c r="I325" i="9"/>
  <c r="J335" i="9"/>
  <c r="I327" i="9"/>
  <c r="J332" i="9"/>
  <c r="I324" i="4"/>
  <c r="I328" i="9"/>
  <c r="I275" i="10"/>
  <c r="I326" i="9"/>
  <c r="J283" i="10"/>
  <c r="I325" i="4"/>
  <c r="I314" i="7"/>
  <c r="I313" i="7"/>
  <c r="I316" i="7"/>
  <c r="I327" i="4"/>
  <c r="J321" i="7"/>
  <c r="I326" i="4"/>
  <c r="J323" i="7"/>
  <c r="J334" i="4"/>
  <c r="I327" i="8"/>
  <c r="J332" i="8"/>
  <c r="I326" i="8"/>
  <c r="I325" i="8"/>
  <c r="J334" i="8"/>
  <c r="J282" i="10"/>
  <c r="I276" i="10"/>
  <c r="J331" i="4"/>
  <c r="I315" i="7"/>
  <c r="I278" i="10"/>
  <c r="J285" i="10"/>
  <c r="I277" i="10"/>
  <c r="J331" i="8"/>
  <c r="I231" i="8"/>
  <c r="C4" i="4" l="1"/>
  <c r="C5" i="4" s="1"/>
  <c r="G88" i="5"/>
  <c r="E88" i="5"/>
  <c r="E92" i="5"/>
  <c r="E93" i="5"/>
  <c r="E94" i="5"/>
  <c r="E95" i="5"/>
  <c r="E96" i="5"/>
  <c r="G91" i="5"/>
  <c r="G92" i="5"/>
  <c r="G93" i="5"/>
  <c r="G94" i="5"/>
  <c r="G95" i="5"/>
  <c r="G96" i="5"/>
  <c r="E91" i="5"/>
  <c r="G90" i="5"/>
  <c r="E90" i="5"/>
  <c r="D169" i="4" l="1"/>
  <c r="D117" i="4"/>
  <c r="D351" i="4"/>
  <c r="D341" i="4"/>
  <c r="D23" i="4"/>
  <c r="F231" i="4" s="1"/>
  <c r="F224" i="4" s="1"/>
  <c r="C23" i="9"/>
  <c r="C9" i="4"/>
  <c r="C13" i="7"/>
  <c r="C13" i="9"/>
  <c r="E89" i="5"/>
  <c r="G89" i="5"/>
  <c r="C5" i="10" l="1"/>
  <c r="C9" i="8" l="1"/>
  <c r="C9" i="9"/>
  <c r="C10" i="9" s="1"/>
  <c r="C11" i="9" s="1"/>
  <c r="C9" i="7"/>
  <c r="C8" i="11"/>
  <c r="C7" i="11"/>
  <c r="F127" i="5"/>
  <c r="D127" i="5"/>
  <c r="D84" i="11" s="1"/>
  <c r="J96" i="9" l="1"/>
  <c r="J73" i="9"/>
  <c r="J49" i="9"/>
  <c r="J25" i="9"/>
  <c r="J23" i="9" s="1"/>
  <c r="H134" i="7"/>
  <c r="C10" i="7"/>
  <c r="C11" i="7" s="1"/>
  <c r="H54" i="11"/>
  <c r="H142" i="7" l="1"/>
  <c r="H125" i="9"/>
  <c r="L125" i="9" s="1"/>
  <c r="H151" i="8"/>
  <c r="H151" i="4"/>
  <c r="H125" i="4"/>
  <c r="H151" i="9"/>
  <c r="L151" i="9" s="1"/>
  <c r="H117" i="7"/>
  <c r="H125" i="8"/>
  <c r="H62" i="11"/>
  <c r="H32" i="11"/>
  <c r="L32" i="11" s="1"/>
  <c r="H48" i="10"/>
  <c r="H24" i="10"/>
  <c r="H114" i="9"/>
  <c r="H101" i="9"/>
  <c r="H54" i="9"/>
  <c r="H44" i="9"/>
  <c r="H206" i="9"/>
  <c r="L206" i="9" s="1"/>
  <c r="H91" i="9"/>
  <c r="H78" i="9"/>
  <c r="H193" i="9"/>
  <c r="H140" i="9"/>
  <c r="H68" i="9"/>
  <c r="H30" i="9"/>
  <c r="H220" i="9"/>
  <c r="H179" i="9"/>
  <c r="L179" i="9" s="1"/>
  <c r="H166" i="9"/>
  <c r="H54" i="4"/>
  <c r="H30" i="4"/>
  <c r="H78" i="4"/>
  <c r="J95" i="9"/>
  <c r="J100" i="9"/>
  <c r="L100" i="9" s="1"/>
  <c r="J101" i="9"/>
  <c r="J94" i="9"/>
  <c r="J30" i="9"/>
  <c r="J29" i="9"/>
  <c r="L29" i="9" s="1"/>
  <c r="J24" i="9"/>
  <c r="J77" i="9"/>
  <c r="L77" i="9" s="1"/>
  <c r="J72" i="9"/>
  <c r="J78" i="9"/>
  <c r="J71" i="9"/>
  <c r="J47" i="9"/>
  <c r="J54" i="9"/>
  <c r="J48" i="9"/>
  <c r="J53" i="9"/>
  <c r="L53" i="9" s="1"/>
  <c r="H325" i="8"/>
  <c r="H326" i="9"/>
  <c r="H276" i="10"/>
  <c r="H314" i="7"/>
  <c r="H325" i="4"/>
  <c r="H326" i="8"/>
  <c r="H327" i="9"/>
  <c r="H277" i="10"/>
  <c r="H315" i="7"/>
  <c r="H326" i="4"/>
  <c r="H324" i="4"/>
  <c r="H324" i="8"/>
  <c r="H325" i="9"/>
  <c r="H275" i="10"/>
  <c r="H313" i="7"/>
  <c r="H193" i="8"/>
  <c r="H92" i="8"/>
  <c r="H193" i="4"/>
  <c r="H91" i="4"/>
  <c r="H182" i="7"/>
  <c r="H85" i="7"/>
  <c r="H332" i="4"/>
  <c r="H166" i="8"/>
  <c r="H70" i="8"/>
  <c r="H166" i="4"/>
  <c r="H68" i="4"/>
  <c r="H156" i="7"/>
  <c r="H64" i="7"/>
  <c r="H140" i="8"/>
  <c r="H46" i="8"/>
  <c r="H140" i="4"/>
  <c r="H44" i="4"/>
  <c r="H131" i="7"/>
  <c r="H42" i="7"/>
  <c r="H332" i="8"/>
  <c r="H321" i="7"/>
  <c r="H333" i="9"/>
  <c r="H283" i="10"/>
  <c r="H220" i="8"/>
  <c r="H114" i="8"/>
  <c r="H220" i="4"/>
  <c r="H114" i="4"/>
  <c r="H208" i="7"/>
  <c r="H106" i="7"/>
  <c r="H141" i="10"/>
  <c r="H37" i="10"/>
  <c r="H81" i="11"/>
  <c r="H111" i="10"/>
  <c r="H86" i="10"/>
  <c r="H171" i="10"/>
  <c r="H61" i="10"/>
  <c r="H112" i="11"/>
  <c r="D77" i="5"/>
  <c r="F60" i="5"/>
  <c r="F59" i="5"/>
  <c r="D59" i="5" l="1"/>
  <c r="H33" i="11" s="1"/>
  <c r="L33" i="11" s="1"/>
  <c r="D60" i="5"/>
  <c r="H127" i="4" s="1"/>
  <c r="L78" i="9"/>
  <c r="H152" i="4"/>
  <c r="H143" i="7"/>
  <c r="L101" i="9"/>
  <c r="L30" i="9"/>
  <c r="L54" i="9"/>
  <c r="H55" i="9"/>
  <c r="H207" i="9"/>
  <c r="L207" i="9" s="1"/>
  <c r="H31" i="4"/>
  <c r="H51" i="9"/>
  <c r="H27" i="9"/>
  <c r="H27" i="4"/>
  <c r="H51" i="4"/>
  <c r="L47" i="9"/>
  <c r="J51" i="9"/>
  <c r="J76" i="9"/>
  <c r="L76" i="9" s="1"/>
  <c r="J79" i="9"/>
  <c r="J28" i="9"/>
  <c r="L28" i="9" s="1"/>
  <c r="J31" i="9"/>
  <c r="J52" i="9"/>
  <c r="L52" i="9" s="1"/>
  <c r="J55" i="9"/>
  <c r="J27" i="9"/>
  <c r="L23" i="9"/>
  <c r="L71" i="9"/>
  <c r="L94" i="9"/>
  <c r="J99" i="9"/>
  <c r="L99" i="9" s="1"/>
  <c r="J102" i="9"/>
  <c r="H333" i="4"/>
  <c r="H163" i="8"/>
  <c r="H67" i="8"/>
  <c r="H163" i="4"/>
  <c r="H65" i="4"/>
  <c r="H153" i="7"/>
  <c r="H61" i="7"/>
  <c r="H137" i="8"/>
  <c r="H43" i="8"/>
  <c r="H137" i="4"/>
  <c r="H41" i="4"/>
  <c r="H128" i="7"/>
  <c r="H39" i="7"/>
  <c r="H333" i="8"/>
  <c r="H322" i="7"/>
  <c r="H334" i="9"/>
  <c r="H284" i="10"/>
  <c r="H217" i="8"/>
  <c r="H111" i="8"/>
  <c r="H217" i="4"/>
  <c r="H111" i="4"/>
  <c r="H205" i="7"/>
  <c r="H103" i="7"/>
  <c r="H190" i="8"/>
  <c r="H89" i="8"/>
  <c r="H190" i="4"/>
  <c r="H88" i="4"/>
  <c r="H179" i="7"/>
  <c r="H82" i="7"/>
  <c r="H108" i="10"/>
  <c r="H83" i="10"/>
  <c r="H168" i="10"/>
  <c r="H58" i="10"/>
  <c r="H109" i="11"/>
  <c r="H138" i="10"/>
  <c r="H34" i="10"/>
  <c r="H78" i="11"/>
  <c r="H138" i="8"/>
  <c r="H44" i="8"/>
  <c r="H138" i="4"/>
  <c r="H42" i="4"/>
  <c r="H129" i="7"/>
  <c r="H40" i="7"/>
  <c r="H334" i="8"/>
  <c r="H323" i="7"/>
  <c r="H335" i="9"/>
  <c r="H285" i="10"/>
  <c r="H218" i="8"/>
  <c r="H112" i="8"/>
  <c r="H218" i="4"/>
  <c r="H112" i="4"/>
  <c r="H206" i="7"/>
  <c r="H104" i="7"/>
  <c r="H191" i="8"/>
  <c r="H90" i="8"/>
  <c r="H191" i="4"/>
  <c r="H89" i="4"/>
  <c r="H180" i="7"/>
  <c r="H83" i="7"/>
  <c r="H334" i="4"/>
  <c r="H164" i="8"/>
  <c r="H68" i="8"/>
  <c r="H164" i="4"/>
  <c r="H66" i="4"/>
  <c r="H154" i="7"/>
  <c r="H62" i="7"/>
  <c r="H84" i="10"/>
  <c r="H169" i="10"/>
  <c r="H59" i="10"/>
  <c r="H110" i="11"/>
  <c r="H139" i="10"/>
  <c r="H35" i="10"/>
  <c r="H79" i="11"/>
  <c r="H109" i="10"/>
  <c r="H137" i="9" l="1"/>
  <c r="H213" i="9"/>
  <c r="H102" i="9"/>
  <c r="H159" i="9"/>
  <c r="H79" i="4"/>
  <c r="H37" i="9"/>
  <c r="H186" i="9"/>
  <c r="H133" i="9"/>
  <c r="H217" i="9"/>
  <c r="H65" i="9"/>
  <c r="H190" i="9"/>
  <c r="H111" i="9"/>
  <c r="H208" i="9"/>
  <c r="L208" i="9" s="1"/>
  <c r="H56" i="4"/>
  <c r="H191" i="9"/>
  <c r="H56" i="9"/>
  <c r="L56" i="9" s="1"/>
  <c r="H42" i="9"/>
  <c r="H64" i="11"/>
  <c r="H32" i="4"/>
  <c r="H103" i="9"/>
  <c r="L103" i="9" s="1"/>
  <c r="H89" i="9"/>
  <c r="H80" i="4"/>
  <c r="H164" i="9"/>
  <c r="H66" i="9"/>
  <c r="H26" i="10"/>
  <c r="H127" i="8"/>
  <c r="H138" i="9"/>
  <c r="H80" i="9"/>
  <c r="L80" i="9" s="1"/>
  <c r="H181" i="9"/>
  <c r="L181" i="9" s="1"/>
  <c r="H34" i="11"/>
  <c r="L34" i="11" s="1"/>
  <c r="H112" i="9"/>
  <c r="H218" i="9"/>
  <c r="H32" i="9"/>
  <c r="L32" i="9" s="1"/>
  <c r="H119" i="7"/>
  <c r="H153" i="9"/>
  <c r="L153" i="9" s="1"/>
  <c r="H153" i="4"/>
  <c r="H88" i="9"/>
  <c r="H25" i="10"/>
  <c r="H152" i="8"/>
  <c r="H152" i="9"/>
  <c r="L152" i="9" s="1"/>
  <c r="H84" i="9"/>
  <c r="H41" i="9"/>
  <c r="H49" i="10"/>
  <c r="H126" i="8"/>
  <c r="H126" i="4"/>
  <c r="H153" i="8"/>
  <c r="H144" i="7"/>
  <c r="H55" i="4"/>
  <c r="H107" i="9"/>
  <c r="H61" i="9"/>
  <c r="H163" i="9"/>
  <c r="H180" i="9"/>
  <c r="L180" i="9" s="1"/>
  <c r="H31" i="9"/>
  <c r="L31" i="9" s="1"/>
  <c r="H79" i="9"/>
  <c r="L79" i="9" s="1"/>
  <c r="H63" i="11"/>
  <c r="H126" i="9"/>
  <c r="L126" i="9" s="1"/>
  <c r="H118" i="7"/>
  <c r="H50" i="10"/>
  <c r="H127" i="9"/>
  <c r="L127" i="9" s="1"/>
  <c r="L55" i="9"/>
  <c r="H119" i="8"/>
  <c r="H119" i="9"/>
  <c r="L119" i="9" s="1"/>
  <c r="H145" i="9"/>
  <c r="L145" i="9" s="1"/>
  <c r="H145" i="8"/>
  <c r="H111" i="7"/>
  <c r="H136" i="7"/>
  <c r="H145" i="4"/>
  <c r="H119" i="4"/>
  <c r="H56" i="11"/>
  <c r="H18" i="10"/>
  <c r="H26" i="11"/>
  <c r="L26" i="11" s="1"/>
  <c r="H42" i="10"/>
  <c r="L42" i="10" s="1"/>
  <c r="H135" i="7"/>
  <c r="H118" i="9"/>
  <c r="L118" i="9" s="1"/>
  <c r="H144" i="4"/>
  <c r="H118" i="4"/>
  <c r="H144" i="9"/>
  <c r="L144" i="9" s="1"/>
  <c r="H144" i="8"/>
  <c r="H110" i="7"/>
  <c r="H118" i="8"/>
  <c r="H55" i="11"/>
  <c r="H25" i="11"/>
  <c r="L25" i="11" s="1"/>
  <c r="H41" i="10"/>
  <c r="L41" i="10" s="1"/>
  <c r="H17" i="10"/>
  <c r="H139" i="7"/>
  <c r="H122" i="9"/>
  <c r="L122" i="9" s="1"/>
  <c r="H114" i="7"/>
  <c r="H148" i="4"/>
  <c r="L148" i="4" s="1"/>
  <c r="H122" i="4"/>
  <c r="L122" i="4" s="1"/>
  <c r="H148" i="9"/>
  <c r="L148" i="9" s="1"/>
  <c r="H122" i="8"/>
  <c r="L122" i="8" s="1"/>
  <c r="H148" i="8"/>
  <c r="L148" i="8" s="1"/>
  <c r="H29" i="11"/>
  <c r="L29" i="11" s="1"/>
  <c r="H45" i="10"/>
  <c r="L45" i="10" s="1"/>
  <c r="H59" i="11"/>
  <c r="H21" i="10"/>
  <c r="L21" i="10" s="1"/>
  <c r="H137" i="7"/>
  <c r="H120" i="9"/>
  <c r="L120" i="9" s="1"/>
  <c r="H146" i="4"/>
  <c r="H120" i="4"/>
  <c r="H146" i="9"/>
  <c r="L146" i="9" s="1"/>
  <c r="H120" i="8"/>
  <c r="H146" i="8"/>
  <c r="H112" i="7"/>
  <c r="H57" i="11"/>
  <c r="H19" i="10"/>
  <c r="H27" i="11"/>
  <c r="L27" i="11" s="1"/>
  <c r="H43" i="10"/>
  <c r="L43" i="10" s="1"/>
  <c r="H121" i="8"/>
  <c r="H121" i="9"/>
  <c r="L121" i="9" s="1"/>
  <c r="H147" i="4"/>
  <c r="H121" i="4"/>
  <c r="H147" i="8"/>
  <c r="H113" i="7"/>
  <c r="H147" i="9"/>
  <c r="L147" i="9" s="1"/>
  <c r="H138" i="7"/>
  <c r="H58" i="11"/>
  <c r="H20" i="10"/>
  <c r="L20" i="10" s="1"/>
  <c r="H28" i="11"/>
  <c r="L28" i="11" s="1"/>
  <c r="H44" i="10"/>
  <c r="L44" i="10" s="1"/>
  <c r="L102" i="9"/>
  <c r="L27" i="9"/>
  <c r="L51" i="9"/>
  <c r="H200" i="9"/>
  <c r="L200" i="9" s="1"/>
  <c r="H173" i="9"/>
  <c r="L173" i="9" s="1"/>
  <c r="H74" i="9"/>
  <c r="L74" i="9" s="1"/>
  <c r="H74" i="4"/>
  <c r="H211" i="9"/>
  <c r="H197" i="9"/>
  <c r="L197" i="9" s="1"/>
  <c r="H59" i="9"/>
  <c r="H35" i="9"/>
  <c r="H25" i="9"/>
  <c r="L25" i="9" s="1"/>
  <c r="H184" i="9"/>
  <c r="H170" i="9"/>
  <c r="L170" i="9" s="1"/>
  <c r="H157" i="9"/>
  <c r="H49" i="9"/>
  <c r="L49" i="9" s="1"/>
  <c r="H131" i="9"/>
  <c r="H35" i="4"/>
  <c r="H49" i="4"/>
  <c r="H25" i="4"/>
  <c r="H203" i="9"/>
  <c r="L203" i="9" s="1"/>
  <c r="H176" i="9"/>
  <c r="L176" i="9" s="1"/>
  <c r="H185" i="9"/>
  <c r="H171" i="9"/>
  <c r="L171" i="9" s="1"/>
  <c r="H96" i="9"/>
  <c r="L96" i="9" s="1"/>
  <c r="H212" i="9"/>
  <c r="H105" i="9"/>
  <c r="H73" i="9"/>
  <c r="L73" i="9" s="1"/>
  <c r="H198" i="9"/>
  <c r="L198" i="9" s="1"/>
  <c r="H82" i="9"/>
  <c r="H73" i="4"/>
  <c r="H82" i="4"/>
  <c r="H199" i="9"/>
  <c r="L199" i="9" s="1"/>
  <c r="H172" i="9"/>
  <c r="L172" i="9" s="1"/>
  <c r="H175" i="9"/>
  <c r="L175" i="9" s="1"/>
  <c r="H202" i="9"/>
  <c r="L202" i="9" s="1"/>
  <c r="H216" i="9"/>
  <c r="H162" i="9"/>
  <c r="H136" i="9"/>
  <c r="H110" i="9"/>
  <c r="H40" i="9"/>
  <c r="H189" i="9"/>
  <c r="H87" i="9"/>
  <c r="H64" i="9"/>
  <c r="H329" i="8"/>
  <c r="H330" i="4"/>
  <c r="H328" i="4"/>
  <c r="H318" i="7"/>
  <c r="H330" i="9"/>
  <c r="H280" i="10"/>
  <c r="H330" i="8"/>
  <c r="H328" i="8"/>
  <c r="H329" i="4"/>
  <c r="H319" i="7"/>
  <c r="H317" i="7"/>
  <c r="H331" i="9"/>
  <c r="H329" i="9"/>
  <c r="H281" i="10"/>
  <c r="H279" i="10"/>
  <c r="H327" i="4"/>
  <c r="H327" i="8"/>
  <c r="H316" i="7"/>
  <c r="H328" i="9"/>
  <c r="H278" i="10"/>
  <c r="H216" i="8"/>
  <c r="H110" i="8"/>
  <c r="H216" i="4"/>
  <c r="H110" i="4"/>
  <c r="H204" i="7"/>
  <c r="H102" i="7"/>
  <c r="H189" i="8"/>
  <c r="H88" i="8"/>
  <c r="H189" i="4"/>
  <c r="H87" i="4"/>
  <c r="H178" i="7"/>
  <c r="H81" i="7"/>
  <c r="H162" i="8"/>
  <c r="H66" i="8"/>
  <c r="H162" i="4"/>
  <c r="H64" i="4"/>
  <c r="H152" i="7"/>
  <c r="H60" i="7"/>
  <c r="H136" i="8"/>
  <c r="H42" i="8"/>
  <c r="H136" i="4"/>
  <c r="H40" i="4"/>
  <c r="H127" i="7"/>
  <c r="H38" i="7"/>
  <c r="H167" i="10"/>
  <c r="H57" i="10"/>
  <c r="H108" i="11"/>
  <c r="H137" i="10"/>
  <c r="H33" i="10"/>
  <c r="H77" i="11"/>
  <c r="H107" i="10"/>
  <c r="H82" i="10"/>
  <c r="G125" i="5"/>
  <c r="D125" i="5"/>
  <c r="D134" i="5"/>
  <c r="D175" i="10" l="1"/>
  <c r="D16" i="10"/>
  <c r="D137" i="5"/>
  <c r="E137" i="5"/>
  <c r="D344" i="9" l="1"/>
  <c r="D293" i="10"/>
  <c r="D271" i="11"/>
  <c r="C9" i="11" l="1"/>
  <c r="G100" i="5"/>
  <c r="E100" i="5"/>
  <c r="H281" i="11"/>
  <c r="I280" i="11"/>
  <c r="I281" i="11" s="1"/>
  <c r="H278" i="11"/>
  <c r="H277" i="11"/>
  <c r="H276" i="11"/>
  <c r="H275" i="11"/>
  <c r="J275" i="11"/>
  <c r="H273" i="11"/>
  <c r="H271" i="11"/>
  <c r="H268" i="11"/>
  <c r="H267" i="11"/>
  <c r="H264" i="11"/>
  <c r="H263" i="11"/>
  <c r="H262" i="11"/>
  <c r="H261" i="11"/>
  <c r="H260" i="11"/>
  <c r="I259" i="11"/>
  <c r="H259" i="11"/>
  <c r="I258" i="11"/>
  <c r="H258" i="11"/>
  <c r="I257" i="11"/>
  <c r="H257" i="11"/>
  <c r="H256" i="11"/>
  <c r="H255" i="11"/>
  <c r="H254" i="11"/>
  <c r="H253" i="11"/>
  <c r="H251" i="11"/>
  <c r="H250" i="11"/>
  <c r="H249" i="11"/>
  <c r="H248" i="11"/>
  <c r="H247" i="11"/>
  <c r="I246" i="11"/>
  <c r="H246" i="11"/>
  <c r="I245" i="11"/>
  <c r="H245" i="11"/>
  <c r="I244" i="11"/>
  <c r="H244" i="11"/>
  <c r="H243" i="11"/>
  <c r="H242" i="11"/>
  <c r="H241" i="11"/>
  <c r="H240" i="11"/>
  <c r="H236" i="11"/>
  <c r="H235" i="11"/>
  <c r="H234" i="11"/>
  <c r="H233" i="11"/>
  <c r="H232" i="11"/>
  <c r="H231" i="11"/>
  <c r="H230" i="11"/>
  <c r="H229" i="11"/>
  <c r="H228" i="11"/>
  <c r="H227" i="11"/>
  <c r="H226" i="11"/>
  <c r="H222" i="11"/>
  <c r="H221" i="11"/>
  <c r="H220" i="11"/>
  <c r="H219" i="11"/>
  <c r="H218" i="11"/>
  <c r="H217" i="11"/>
  <c r="H216" i="11"/>
  <c r="H215" i="11"/>
  <c r="H214" i="11"/>
  <c r="H213" i="11"/>
  <c r="H212" i="11"/>
  <c r="H208" i="11"/>
  <c r="H207" i="11"/>
  <c r="H206" i="11"/>
  <c r="H205" i="11"/>
  <c r="H204" i="11"/>
  <c r="H203" i="11"/>
  <c r="H202" i="11"/>
  <c r="H201" i="11"/>
  <c r="H200" i="11"/>
  <c r="H199" i="11"/>
  <c r="H198" i="11"/>
  <c r="H194" i="11"/>
  <c r="H193" i="11"/>
  <c r="H192" i="11"/>
  <c r="H191" i="11"/>
  <c r="H190" i="11"/>
  <c r="H189" i="11"/>
  <c r="H188" i="11"/>
  <c r="H187" i="11"/>
  <c r="H186" i="11"/>
  <c r="H185" i="11"/>
  <c r="H184" i="11"/>
  <c r="H180" i="11"/>
  <c r="H179" i="11"/>
  <c r="H178" i="11"/>
  <c r="H177" i="11"/>
  <c r="H176" i="11"/>
  <c r="H175" i="11"/>
  <c r="H174" i="11"/>
  <c r="H173" i="11"/>
  <c r="H172" i="11"/>
  <c r="H171" i="11"/>
  <c r="H170" i="11"/>
  <c r="H166" i="11"/>
  <c r="H165" i="11"/>
  <c r="H164" i="11"/>
  <c r="H163" i="11"/>
  <c r="H162" i="11"/>
  <c r="H161" i="11"/>
  <c r="H160" i="11"/>
  <c r="H159" i="11"/>
  <c r="H158" i="11"/>
  <c r="H157" i="11"/>
  <c r="H156" i="11"/>
  <c r="H149" i="11"/>
  <c r="H148" i="11"/>
  <c r="H147" i="11"/>
  <c r="H145" i="11"/>
  <c r="H144" i="11"/>
  <c r="H143" i="11"/>
  <c r="H142" i="11"/>
  <c r="H141" i="11"/>
  <c r="H140" i="11"/>
  <c r="J139" i="11"/>
  <c r="J143" i="11" s="1"/>
  <c r="H139" i="11"/>
  <c r="H138" i="11"/>
  <c r="H137" i="11"/>
  <c r="H136" i="11"/>
  <c r="J135" i="11"/>
  <c r="H134" i="11"/>
  <c r="H133" i="11"/>
  <c r="H132" i="11"/>
  <c r="H131" i="11"/>
  <c r="J130" i="11"/>
  <c r="H130" i="11"/>
  <c r="H129" i="11"/>
  <c r="J128" i="11"/>
  <c r="J126" i="11"/>
  <c r="H126" i="11"/>
  <c r="H125" i="11"/>
  <c r="J124" i="11"/>
  <c r="H124" i="11"/>
  <c r="J123" i="11"/>
  <c r="H123" i="11"/>
  <c r="H122" i="11"/>
  <c r="H121" i="11"/>
  <c r="L121" i="11" s="1"/>
  <c r="H120" i="11"/>
  <c r="L120" i="11" s="1"/>
  <c r="H119" i="11"/>
  <c r="L119" i="11" s="1"/>
  <c r="H118" i="11"/>
  <c r="L118" i="11" s="1"/>
  <c r="H117" i="11"/>
  <c r="L117" i="11" s="1"/>
  <c r="H116" i="11"/>
  <c r="L116" i="11" s="1"/>
  <c r="J122" i="11"/>
  <c r="H107" i="11"/>
  <c r="H106" i="11"/>
  <c r="H105" i="11"/>
  <c r="J104" i="11"/>
  <c r="H103" i="11"/>
  <c r="H102" i="11"/>
  <c r="H101" i="11"/>
  <c r="H100" i="11"/>
  <c r="J99" i="11"/>
  <c r="H99" i="11"/>
  <c r="H98" i="11"/>
  <c r="J97" i="11"/>
  <c r="J95" i="11"/>
  <c r="H95" i="11"/>
  <c r="H94" i="11"/>
  <c r="J93" i="11"/>
  <c r="H93" i="11"/>
  <c r="J92" i="11"/>
  <c r="H92" i="11"/>
  <c r="H91" i="11"/>
  <c r="H90" i="11"/>
  <c r="L90" i="11" s="1"/>
  <c r="H89" i="11"/>
  <c r="L89" i="11" s="1"/>
  <c r="H88" i="11"/>
  <c r="L88" i="11" s="1"/>
  <c r="H87" i="11"/>
  <c r="L87" i="11" s="1"/>
  <c r="H86" i="11"/>
  <c r="L86" i="11" s="1"/>
  <c r="H85" i="11"/>
  <c r="L85" i="11" s="1"/>
  <c r="J91" i="11"/>
  <c r="H76" i="11"/>
  <c r="H75" i="11"/>
  <c r="H74" i="11"/>
  <c r="J73" i="11"/>
  <c r="H72" i="11"/>
  <c r="H71" i="11"/>
  <c r="H70" i="11"/>
  <c r="H69" i="11"/>
  <c r="J68" i="11"/>
  <c r="H67" i="11"/>
  <c r="L58" i="11"/>
  <c r="L57" i="11"/>
  <c r="L56" i="11"/>
  <c r="L55" i="11"/>
  <c r="L54" i="11"/>
  <c r="H53" i="11"/>
  <c r="H52" i="11"/>
  <c r="H51" i="11"/>
  <c r="H50" i="11"/>
  <c r="H49" i="11"/>
  <c r="H48" i="11"/>
  <c r="J47" i="11"/>
  <c r="J50" i="11" s="1"/>
  <c r="H47" i="11"/>
  <c r="H46" i="11"/>
  <c r="H45" i="11"/>
  <c r="H44" i="11"/>
  <c r="J43" i="11"/>
  <c r="H42" i="11"/>
  <c r="H41" i="11"/>
  <c r="H40" i="11"/>
  <c r="H39" i="11"/>
  <c r="J38" i="11"/>
  <c r="H37" i="11"/>
  <c r="I22" i="11"/>
  <c r="K22" i="11" s="1"/>
  <c r="H20" i="11"/>
  <c r="H19" i="11"/>
  <c r="H18" i="11"/>
  <c r="H17" i="11"/>
  <c r="H15" i="11"/>
  <c r="H14" i="11"/>
  <c r="I14" i="11"/>
  <c r="C5" i="11"/>
  <c r="L281" i="11" l="1"/>
  <c r="L61" i="11"/>
  <c r="I241" i="11"/>
  <c r="L126" i="11"/>
  <c r="L160" i="11"/>
  <c r="L175" i="11"/>
  <c r="L203" i="11"/>
  <c r="L231" i="11"/>
  <c r="L189" i="11"/>
  <c r="L95" i="11"/>
  <c r="L63" i="11"/>
  <c r="I253" i="11"/>
  <c r="L60" i="11"/>
  <c r="L62" i="11"/>
  <c r="L230" i="11"/>
  <c r="J247" i="11"/>
  <c r="L268" i="11"/>
  <c r="J51" i="11"/>
  <c r="L122" i="11"/>
  <c r="L124" i="11"/>
  <c r="J142" i="11"/>
  <c r="L174" i="11"/>
  <c r="L188" i="11"/>
  <c r="L216" i="11"/>
  <c r="I254" i="11"/>
  <c r="J260" i="11"/>
  <c r="L59" i="11"/>
  <c r="L91" i="11"/>
  <c r="L123" i="11"/>
  <c r="L161" i="11"/>
  <c r="L217" i="11"/>
  <c r="I240" i="11"/>
  <c r="L275" i="11"/>
  <c r="L92" i="11"/>
  <c r="J125" i="11"/>
  <c r="L125" i="11" s="1"/>
  <c r="J94" i="11"/>
  <c r="L94" i="11" s="1"/>
  <c r="F266" i="11"/>
  <c r="F155" i="11"/>
  <c r="F197" i="11" s="1"/>
  <c r="F268" i="11"/>
  <c r="K268" i="11" s="1"/>
  <c r="F273" i="11"/>
  <c r="F270" i="11"/>
  <c r="F169" i="11"/>
  <c r="L93" i="11"/>
  <c r="I242" i="11"/>
  <c r="J250" i="11"/>
  <c r="I255" i="11"/>
  <c r="J263" i="11"/>
  <c r="J277" i="11"/>
  <c r="L277" i="11" s="1"/>
  <c r="J276" i="11"/>
  <c r="L276" i="11" s="1"/>
  <c r="L202" i="11"/>
  <c r="J248" i="11"/>
  <c r="J261" i="11"/>
  <c r="I243" i="11"/>
  <c r="I256" i="11"/>
  <c r="C7" i="10"/>
  <c r="F190" i="10" s="1"/>
  <c r="E98" i="5"/>
  <c r="G98" i="5"/>
  <c r="K275" i="11" l="1"/>
  <c r="K276" i="11"/>
  <c r="K280" i="11"/>
  <c r="K277" i="11"/>
  <c r="K281" i="11"/>
  <c r="F183" i="11"/>
  <c r="E217" i="11"/>
  <c r="F225" i="11" s="1"/>
  <c r="F211" i="11" s="1"/>
  <c r="B19" i="5"/>
  <c r="E134" i="5"/>
  <c r="G134" i="5"/>
  <c r="M304" i="10"/>
  <c r="H298" i="10"/>
  <c r="H297" i="10"/>
  <c r="H296" i="10"/>
  <c r="H295" i="10"/>
  <c r="H293" i="10"/>
  <c r="L292" i="10"/>
  <c r="H290" i="10"/>
  <c r="J289" i="10"/>
  <c r="H289" i="10"/>
  <c r="J288" i="10"/>
  <c r="H271" i="10"/>
  <c r="H270" i="10"/>
  <c r="H269" i="10"/>
  <c r="H268" i="10"/>
  <c r="H267" i="10"/>
  <c r="H266" i="10"/>
  <c r="H265" i="10"/>
  <c r="H264" i="10"/>
  <c r="H263" i="10"/>
  <c r="H262" i="10"/>
  <c r="H261" i="10"/>
  <c r="H257" i="10"/>
  <c r="H256" i="10"/>
  <c r="H255" i="10"/>
  <c r="H254" i="10"/>
  <c r="H253" i="10"/>
  <c r="H252" i="10"/>
  <c r="H251" i="10"/>
  <c r="H250" i="10"/>
  <c r="H249" i="10"/>
  <c r="H248" i="10"/>
  <c r="H247" i="10"/>
  <c r="H243" i="10"/>
  <c r="H242" i="10"/>
  <c r="H241" i="10"/>
  <c r="H240" i="10"/>
  <c r="H239" i="10"/>
  <c r="I238" i="10"/>
  <c r="H238" i="10"/>
  <c r="I237" i="10"/>
  <c r="H237" i="10"/>
  <c r="H236" i="10"/>
  <c r="H235" i="10"/>
  <c r="H234" i="10"/>
  <c r="H233" i="10"/>
  <c r="H229" i="10"/>
  <c r="H228" i="10"/>
  <c r="H227" i="10"/>
  <c r="H226" i="10"/>
  <c r="H225" i="10"/>
  <c r="H224" i="10"/>
  <c r="H223" i="10"/>
  <c r="H222" i="10"/>
  <c r="H221" i="10"/>
  <c r="H220" i="10"/>
  <c r="H219" i="10"/>
  <c r="H215" i="10"/>
  <c r="H214" i="10"/>
  <c r="H213" i="10"/>
  <c r="H212" i="10"/>
  <c r="H211" i="10"/>
  <c r="H210" i="10"/>
  <c r="H209" i="10"/>
  <c r="H208" i="10"/>
  <c r="H207" i="10"/>
  <c r="H206" i="10"/>
  <c r="H205" i="10"/>
  <c r="H201" i="10"/>
  <c r="H200" i="10"/>
  <c r="H199" i="10"/>
  <c r="H198" i="10"/>
  <c r="H197" i="10"/>
  <c r="H196" i="10"/>
  <c r="H195" i="10"/>
  <c r="H194" i="10"/>
  <c r="H193" i="10"/>
  <c r="H192" i="10"/>
  <c r="H191" i="10"/>
  <c r="H184" i="10"/>
  <c r="H183" i="10"/>
  <c r="H182" i="10"/>
  <c r="H177" i="10"/>
  <c r="H176" i="10"/>
  <c r="H175" i="10"/>
  <c r="J162" i="10"/>
  <c r="J160" i="10"/>
  <c r="H160" i="10"/>
  <c r="H159" i="10"/>
  <c r="H158" i="10"/>
  <c r="H157" i="10"/>
  <c r="H156" i="10"/>
  <c r="H155" i="10"/>
  <c r="L155" i="10" s="1"/>
  <c r="H154" i="10"/>
  <c r="H153" i="10"/>
  <c r="H152" i="10"/>
  <c r="H151" i="10"/>
  <c r="H150" i="10"/>
  <c r="H149" i="10"/>
  <c r="L149" i="10" s="1"/>
  <c r="H148" i="10"/>
  <c r="L148" i="10" s="1"/>
  <c r="H147" i="10"/>
  <c r="L147" i="10" s="1"/>
  <c r="H146" i="10"/>
  <c r="L146" i="10" s="1"/>
  <c r="H145" i="10"/>
  <c r="L145" i="10" s="1"/>
  <c r="J144" i="10"/>
  <c r="J159" i="10" s="1"/>
  <c r="J132" i="10"/>
  <c r="J130" i="10"/>
  <c r="H130" i="10"/>
  <c r="J129" i="10"/>
  <c r="H129" i="10"/>
  <c r="J128" i="10"/>
  <c r="H128" i="10"/>
  <c r="J127" i="10"/>
  <c r="H127" i="10"/>
  <c r="J126" i="10"/>
  <c r="H126" i="10"/>
  <c r="H125" i="10"/>
  <c r="L125" i="10" s="1"/>
  <c r="H124" i="10"/>
  <c r="L124" i="10" s="1"/>
  <c r="H123" i="10"/>
  <c r="L123" i="10" s="1"/>
  <c r="H122" i="10"/>
  <c r="L122" i="10" s="1"/>
  <c r="H121" i="10"/>
  <c r="L121" i="10" s="1"/>
  <c r="H120" i="10"/>
  <c r="L120" i="10" s="1"/>
  <c r="H119" i="10"/>
  <c r="L119" i="10" s="1"/>
  <c r="H118" i="10"/>
  <c r="L118" i="10" s="1"/>
  <c r="H117" i="10"/>
  <c r="L117" i="10" s="1"/>
  <c r="H116" i="10"/>
  <c r="L116" i="10" s="1"/>
  <c r="H115" i="10"/>
  <c r="L115" i="10" s="1"/>
  <c r="J102" i="10"/>
  <c r="J100" i="10"/>
  <c r="H100" i="10"/>
  <c r="H99" i="10"/>
  <c r="J98" i="10"/>
  <c r="H98" i="10"/>
  <c r="H97" i="10"/>
  <c r="H96" i="10"/>
  <c r="H95" i="10"/>
  <c r="L95" i="10" s="1"/>
  <c r="H94" i="10"/>
  <c r="L94" i="10" s="1"/>
  <c r="H93" i="10"/>
  <c r="L93" i="10" s="1"/>
  <c r="H92" i="10"/>
  <c r="L92" i="10" s="1"/>
  <c r="H91" i="10"/>
  <c r="L91" i="10" s="1"/>
  <c r="H90" i="10"/>
  <c r="L90" i="10" s="1"/>
  <c r="J96" i="10"/>
  <c r="J77" i="10"/>
  <c r="H75" i="10"/>
  <c r="H74" i="10"/>
  <c r="H73" i="10"/>
  <c r="H72" i="10"/>
  <c r="H71" i="10"/>
  <c r="H70" i="10"/>
  <c r="L70" i="10" s="1"/>
  <c r="H69" i="10"/>
  <c r="L69" i="10" s="1"/>
  <c r="H68" i="10"/>
  <c r="L68" i="10" s="1"/>
  <c r="H67" i="10"/>
  <c r="L67" i="10" s="1"/>
  <c r="H66" i="10"/>
  <c r="L66" i="10" s="1"/>
  <c r="H65" i="10"/>
  <c r="L65" i="10" s="1"/>
  <c r="F64" i="10"/>
  <c r="J28" i="10"/>
  <c r="L19" i="10"/>
  <c r="L18" i="10"/>
  <c r="L17" i="10"/>
  <c r="F16" i="10"/>
  <c r="L14" i="10"/>
  <c r="H13" i="10"/>
  <c r="C8" i="10"/>
  <c r="F290" i="10"/>
  <c r="J297" i="10" l="1"/>
  <c r="L297" i="10" s="1"/>
  <c r="J296" i="10"/>
  <c r="L296" i="10" s="1"/>
  <c r="J295" i="10"/>
  <c r="L295" i="10" s="1"/>
  <c r="J71" i="10"/>
  <c r="L71" i="10" s="1"/>
  <c r="J74" i="10"/>
  <c r="L74" i="10" s="1"/>
  <c r="K290" i="10"/>
  <c r="L100" i="10"/>
  <c r="L75" i="10"/>
  <c r="L23" i="10"/>
  <c r="L25" i="10"/>
  <c r="L160" i="10"/>
  <c r="L129" i="10"/>
  <c r="L22" i="10"/>
  <c r="L26" i="10"/>
  <c r="L47" i="10"/>
  <c r="L72" i="10"/>
  <c r="L159" i="10"/>
  <c r="L97" i="10"/>
  <c r="L126" i="10"/>
  <c r="L130" i="10"/>
  <c r="L238" i="10"/>
  <c r="L251" i="10"/>
  <c r="L266" i="10"/>
  <c r="L49" i="10"/>
  <c r="L96" i="10"/>
  <c r="L196" i="10"/>
  <c r="L290" i="10"/>
  <c r="L237" i="10"/>
  <c r="L224" i="10"/>
  <c r="L252" i="10"/>
  <c r="L73" i="10"/>
  <c r="L128" i="10"/>
  <c r="L195" i="10"/>
  <c r="L210" i="10"/>
  <c r="F204" i="10"/>
  <c r="L265" i="10"/>
  <c r="F293" i="10"/>
  <c r="F292" i="10"/>
  <c r="K292" i="10" s="1"/>
  <c r="F288" i="10"/>
  <c r="J99" i="10"/>
  <c r="L99" i="10" s="1"/>
  <c r="L24" i="10"/>
  <c r="L48" i="10"/>
  <c r="L98" i="10"/>
  <c r="L127" i="10"/>
  <c r="J158" i="10"/>
  <c r="L158" i="10" s="1"/>
  <c r="J157" i="10"/>
  <c r="L157" i="10" s="1"/>
  <c r="J156" i="10"/>
  <c r="L156" i="10" s="1"/>
  <c r="L209" i="10"/>
  <c r="L223" i="10"/>
  <c r="E119" i="5"/>
  <c r="G119" i="5"/>
  <c r="E118" i="5"/>
  <c r="G118" i="5"/>
  <c r="E117" i="5"/>
  <c r="G117" i="5"/>
  <c r="E116" i="5"/>
  <c r="G116" i="5"/>
  <c r="E115" i="5"/>
  <c r="G115" i="5"/>
  <c r="E114" i="5"/>
  <c r="G114" i="5"/>
  <c r="E112" i="5"/>
  <c r="G112" i="5"/>
  <c r="E111" i="5"/>
  <c r="G111" i="5"/>
  <c r="D111" i="5"/>
  <c r="D239" i="11" l="1"/>
  <c r="F152" i="11"/>
  <c r="F47" i="11"/>
  <c r="F189" i="9"/>
  <c r="F87" i="9"/>
  <c r="F64" i="9"/>
  <c r="F40" i="9"/>
  <c r="F216" i="9"/>
  <c r="F162" i="9"/>
  <c r="F136" i="9"/>
  <c r="F110" i="9"/>
  <c r="K296" i="10"/>
  <c r="K297" i="10"/>
  <c r="K295" i="10"/>
  <c r="F236" i="4"/>
  <c r="F237" i="9"/>
  <c r="F136" i="8"/>
  <c r="F42" i="8"/>
  <c r="F136" i="4"/>
  <c r="F40" i="4"/>
  <c r="F127" i="7"/>
  <c r="F38" i="7"/>
  <c r="F229" i="8"/>
  <c r="F218" i="7"/>
  <c r="F180" i="10"/>
  <c r="F216" i="8"/>
  <c r="F110" i="8"/>
  <c r="F216" i="4"/>
  <c r="F110" i="4"/>
  <c r="F204" i="7"/>
  <c r="F102" i="7"/>
  <c r="F236" i="8"/>
  <c r="F225" i="7"/>
  <c r="F187" i="10"/>
  <c r="F189" i="8"/>
  <c r="F88" i="8"/>
  <c r="F189" i="4"/>
  <c r="F87" i="4"/>
  <c r="F178" i="7"/>
  <c r="F81" i="7"/>
  <c r="F229" i="4"/>
  <c r="F230" i="9"/>
  <c r="F162" i="8"/>
  <c r="F66" i="8"/>
  <c r="F162" i="4"/>
  <c r="F64" i="4"/>
  <c r="F152" i="7"/>
  <c r="F60" i="7"/>
  <c r="F82" i="10"/>
  <c r="F167" i="10"/>
  <c r="F57" i="10"/>
  <c r="F108" i="11"/>
  <c r="F137" i="10"/>
  <c r="F33" i="10"/>
  <c r="F77" i="11"/>
  <c r="F107" i="10"/>
  <c r="H181" i="11"/>
  <c r="L181" i="11" s="1"/>
  <c r="H167" i="11"/>
  <c r="L167" i="11" s="1"/>
  <c r="H237" i="11"/>
  <c r="L237" i="11" s="1"/>
  <c r="H223" i="11"/>
  <c r="L223" i="11" s="1"/>
  <c r="H209" i="11"/>
  <c r="L209" i="11" s="1"/>
  <c r="H195" i="11"/>
  <c r="L195" i="11" s="1"/>
  <c r="F139" i="11"/>
  <c r="F134" i="11"/>
  <c r="F103" i="11"/>
  <c r="F42" i="11"/>
  <c r="F72" i="11"/>
  <c r="H272" i="10"/>
  <c r="L272" i="10" s="1"/>
  <c r="H258" i="10"/>
  <c r="L258" i="10" s="1"/>
  <c r="H230" i="10"/>
  <c r="L230" i="10" s="1"/>
  <c r="H202" i="10"/>
  <c r="L202" i="10" s="1"/>
  <c r="H244" i="10"/>
  <c r="L244" i="10" s="1"/>
  <c r="H216" i="10"/>
  <c r="L216" i="10" s="1"/>
  <c r="F232" i="10"/>
  <c r="H154" i="8" l="1"/>
  <c r="H128" i="8"/>
  <c r="H128" i="4"/>
  <c r="H145" i="7"/>
  <c r="H154" i="4"/>
  <c r="H128" i="9"/>
  <c r="L128" i="9" s="1"/>
  <c r="H120" i="7"/>
  <c r="H154" i="9"/>
  <c r="L154" i="9" s="1"/>
  <c r="H51" i="10"/>
  <c r="H65" i="11"/>
  <c r="H35" i="11"/>
  <c r="L35" i="11" s="1"/>
  <c r="H27" i="10"/>
  <c r="L27" i="10" s="1"/>
  <c r="L45" i="9"/>
  <c r="L46" i="9"/>
  <c r="L41" i="9"/>
  <c r="L42" i="9"/>
  <c r="L40" i="9"/>
  <c r="L44" i="9"/>
  <c r="L43" i="9"/>
  <c r="L138" i="9"/>
  <c r="L142" i="9"/>
  <c r="L137" i="9"/>
  <c r="L136" i="9"/>
  <c r="L139" i="9"/>
  <c r="L141" i="9"/>
  <c r="L140" i="9"/>
  <c r="L67" i="9"/>
  <c r="L69" i="9"/>
  <c r="L64" i="9"/>
  <c r="L70" i="9"/>
  <c r="L66" i="9"/>
  <c r="L68" i="9"/>
  <c r="L65" i="9"/>
  <c r="L115" i="9"/>
  <c r="L114" i="9"/>
  <c r="L110" i="9"/>
  <c r="L111" i="9"/>
  <c r="L112" i="9"/>
  <c r="L113" i="9"/>
  <c r="L116" i="9"/>
  <c r="L165" i="9"/>
  <c r="L168" i="9"/>
  <c r="L164" i="9"/>
  <c r="L166" i="9"/>
  <c r="L162" i="9"/>
  <c r="L163" i="9"/>
  <c r="L167" i="9"/>
  <c r="L91" i="9"/>
  <c r="L88" i="9"/>
  <c r="L93" i="9"/>
  <c r="L89" i="9"/>
  <c r="L87" i="9"/>
  <c r="L92" i="9"/>
  <c r="L90" i="9"/>
  <c r="H209" i="9"/>
  <c r="L209" i="9" s="1"/>
  <c r="H57" i="9"/>
  <c r="L57" i="9" s="1"/>
  <c r="H182" i="9"/>
  <c r="L182" i="9" s="1"/>
  <c r="H33" i="9"/>
  <c r="L33" i="9" s="1"/>
  <c r="H57" i="4"/>
  <c r="H33" i="4"/>
  <c r="L222" i="9"/>
  <c r="L218" i="9"/>
  <c r="L217" i="9"/>
  <c r="L220" i="9"/>
  <c r="L216" i="9"/>
  <c r="L219" i="9"/>
  <c r="L221" i="9"/>
  <c r="L194" i="9"/>
  <c r="L195" i="9"/>
  <c r="L189" i="9"/>
  <c r="L192" i="9"/>
  <c r="L191" i="9"/>
  <c r="L193" i="9"/>
  <c r="L190" i="9"/>
  <c r="K329" i="8"/>
  <c r="K325" i="8"/>
  <c r="K328" i="8"/>
  <c r="K324" i="8"/>
  <c r="K327" i="8"/>
  <c r="K330" i="8"/>
  <c r="K326" i="8"/>
  <c r="K328" i="4"/>
  <c r="K326" i="4"/>
  <c r="K330" i="4"/>
  <c r="K325" i="4"/>
  <c r="K329" i="4"/>
  <c r="K324" i="4"/>
  <c r="K327" i="4"/>
  <c r="L88" i="10"/>
  <c r="L84" i="10"/>
  <c r="L87" i="10"/>
  <c r="L85" i="10"/>
  <c r="L83" i="10"/>
  <c r="L82" i="10"/>
  <c r="L86" i="10"/>
  <c r="L335" i="4"/>
  <c r="L331" i="4"/>
  <c r="L325" i="4"/>
  <c r="L324" i="4"/>
  <c r="L326" i="4"/>
  <c r="L332" i="4"/>
  <c r="L334" i="4"/>
  <c r="L328" i="4"/>
  <c r="L329" i="4"/>
  <c r="L327" i="4"/>
  <c r="L330" i="4"/>
  <c r="L195" i="8"/>
  <c r="L192" i="8"/>
  <c r="L190" i="8"/>
  <c r="L189" i="8"/>
  <c r="L194" i="8"/>
  <c r="L191" i="8"/>
  <c r="L193" i="8"/>
  <c r="L108" i="7"/>
  <c r="L102" i="7"/>
  <c r="L105" i="7"/>
  <c r="L104" i="7"/>
  <c r="L103" i="7"/>
  <c r="L107" i="7"/>
  <c r="L106" i="7"/>
  <c r="L335" i="8"/>
  <c r="L331" i="8"/>
  <c r="L324" i="8"/>
  <c r="L325" i="8"/>
  <c r="L332" i="8"/>
  <c r="L326" i="8"/>
  <c r="L334" i="8"/>
  <c r="L329" i="8"/>
  <c r="L330" i="8"/>
  <c r="L328" i="8"/>
  <c r="L327" i="8"/>
  <c r="L133" i="7"/>
  <c r="L132" i="7"/>
  <c r="L129" i="7"/>
  <c r="L130" i="7"/>
  <c r="L127" i="7"/>
  <c r="L128" i="7"/>
  <c r="L131" i="7"/>
  <c r="L142" i="8"/>
  <c r="L136" i="8"/>
  <c r="L138" i="8"/>
  <c r="L137" i="8"/>
  <c r="L141" i="8"/>
  <c r="L139" i="8"/>
  <c r="L140" i="8"/>
  <c r="L39" i="10"/>
  <c r="L36" i="10"/>
  <c r="L33" i="10"/>
  <c r="L34" i="10"/>
  <c r="L35" i="10"/>
  <c r="L38" i="10"/>
  <c r="L37" i="10"/>
  <c r="L63" i="10"/>
  <c r="L57" i="10"/>
  <c r="L59" i="10"/>
  <c r="L58" i="10"/>
  <c r="L62" i="10"/>
  <c r="L60" i="10"/>
  <c r="L61" i="10"/>
  <c r="L158" i="7"/>
  <c r="L157" i="7"/>
  <c r="L155" i="7"/>
  <c r="L152" i="7"/>
  <c r="L153" i="7"/>
  <c r="L154" i="7"/>
  <c r="L156" i="7"/>
  <c r="L167" i="8"/>
  <c r="L168" i="8"/>
  <c r="L165" i="8"/>
  <c r="L163" i="8"/>
  <c r="L166" i="8"/>
  <c r="L162" i="8"/>
  <c r="L164" i="8"/>
  <c r="L93" i="4"/>
  <c r="L88" i="4"/>
  <c r="L92" i="4"/>
  <c r="L91" i="4"/>
  <c r="L90" i="4"/>
  <c r="L89" i="4"/>
  <c r="L87" i="4"/>
  <c r="L208" i="7"/>
  <c r="L209" i="7"/>
  <c r="L207" i="7"/>
  <c r="L204" i="7"/>
  <c r="L205" i="7"/>
  <c r="L210" i="7"/>
  <c r="L206" i="7"/>
  <c r="L222" i="8"/>
  <c r="L218" i="8"/>
  <c r="L216" i="8"/>
  <c r="L219" i="8"/>
  <c r="L221" i="8"/>
  <c r="L217" i="8"/>
  <c r="L220" i="8"/>
  <c r="L46" i="4"/>
  <c r="L43" i="4"/>
  <c r="L40" i="4"/>
  <c r="L41" i="4"/>
  <c r="L42" i="4"/>
  <c r="L45" i="4"/>
  <c r="L44" i="4"/>
  <c r="K256" i="11"/>
  <c r="K259" i="11"/>
  <c r="K255" i="11"/>
  <c r="K258" i="11"/>
  <c r="K254" i="11"/>
  <c r="K257" i="11"/>
  <c r="K253" i="11"/>
  <c r="L66" i="7"/>
  <c r="L65" i="7"/>
  <c r="L62" i="7"/>
  <c r="L60" i="7"/>
  <c r="L61" i="7"/>
  <c r="L63" i="7"/>
  <c r="L64" i="7"/>
  <c r="L72" i="8"/>
  <c r="L71" i="8"/>
  <c r="L67" i="8"/>
  <c r="L69" i="8"/>
  <c r="L66" i="8"/>
  <c r="L68" i="8"/>
  <c r="L70" i="8"/>
  <c r="L116" i="8"/>
  <c r="L112" i="8"/>
  <c r="L111" i="8"/>
  <c r="L115" i="8"/>
  <c r="L113" i="8"/>
  <c r="L110" i="8"/>
  <c r="L114" i="8"/>
  <c r="L143" i="10"/>
  <c r="L140" i="10"/>
  <c r="L139" i="10"/>
  <c r="L142" i="10"/>
  <c r="L138" i="10"/>
  <c r="L137" i="10"/>
  <c r="L141" i="10"/>
  <c r="L114" i="11"/>
  <c r="L108" i="11"/>
  <c r="L109" i="11"/>
  <c r="L113" i="11"/>
  <c r="L111" i="11"/>
  <c r="L110" i="11"/>
  <c r="L112" i="11"/>
  <c r="L168" i="10"/>
  <c r="L173" i="10"/>
  <c r="L167" i="10"/>
  <c r="L170" i="10"/>
  <c r="L169" i="10"/>
  <c r="L172" i="10"/>
  <c r="L171" i="10"/>
  <c r="L70" i="4"/>
  <c r="L65" i="4"/>
  <c r="L69" i="4"/>
  <c r="L64" i="4"/>
  <c r="L67" i="4"/>
  <c r="L66" i="4"/>
  <c r="L68" i="4"/>
  <c r="L195" i="4"/>
  <c r="L191" i="4"/>
  <c r="L190" i="4"/>
  <c r="L194" i="4"/>
  <c r="L192" i="4"/>
  <c r="L189" i="4"/>
  <c r="L193" i="4"/>
  <c r="L116" i="4"/>
  <c r="L112" i="4"/>
  <c r="L111" i="4"/>
  <c r="L115" i="4"/>
  <c r="L113" i="4"/>
  <c r="L110" i="4"/>
  <c r="L114" i="4"/>
  <c r="K280" i="10"/>
  <c r="K276" i="10"/>
  <c r="K278" i="10"/>
  <c r="K281" i="10"/>
  <c r="K275" i="10"/>
  <c r="K277" i="10"/>
  <c r="K279" i="10"/>
  <c r="L286" i="10"/>
  <c r="L282" i="10"/>
  <c r="L283" i="10"/>
  <c r="L275" i="10"/>
  <c r="L276" i="10"/>
  <c r="L277" i="10"/>
  <c r="L285" i="10"/>
  <c r="L280" i="10"/>
  <c r="L281" i="10"/>
  <c r="L279" i="10"/>
  <c r="L278" i="10"/>
  <c r="L142" i="4"/>
  <c r="L138" i="4"/>
  <c r="L140" i="4"/>
  <c r="L139" i="4"/>
  <c r="L141" i="4"/>
  <c r="L137" i="4"/>
  <c r="L136" i="4"/>
  <c r="L184" i="7"/>
  <c r="K178" i="7"/>
  <c r="L180" i="7"/>
  <c r="L181" i="7"/>
  <c r="L183" i="7"/>
  <c r="L178" i="7"/>
  <c r="L179" i="7"/>
  <c r="L182" i="7"/>
  <c r="L113" i="10"/>
  <c r="L110" i="10"/>
  <c r="L107" i="10"/>
  <c r="L109" i="10"/>
  <c r="L108" i="10"/>
  <c r="L112" i="10"/>
  <c r="L111" i="10"/>
  <c r="L83" i="11"/>
  <c r="L79" i="11"/>
  <c r="L82" i="11"/>
  <c r="L78" i="11"/>
  <c r="L80" i="11"/>
  <c r="L77" i="11"/>
  <c r="L81" i="11"/>
  <c r="L258" i="11"/>
  <c r="L257" i="11"/>
  <c r="L168" i="4"/>
  <c r="L162" i="4"/>
  <c r="L165" i="4"/>
  <c r="L164" i="4"/>
  <c r="L167" i="4"/>
  <c r="L163" i="4"/>
  <c r="L166" i="4"/>
  <c r="K316" i="7"/>
  <c r="K319" i="7"/>
  <c r="K314" i="7"/>
  <c r="K318" i="7"/>
  <c r="K313" i="7"/>
  <c r="K317" i="7"/>
  <c r="K315" i="7"/>
  <c r="L324" i="7"/>
  <c r="L320" i="7"/>
  <c r="L314" i="7"/>
  <c r="L315" i="7"/>
  <c r="L313" i="7"/>
  <c r="L321" i="7"/>
  <c r="L323" i="7"/>
  <c r="L318" i="7"/>
  <c r="L316" i="7"/>
  <c r="L317" i="7"/>
  <c r="L319" i="7"/>
  <c r="L87" i="7"/>
  <c r="L86" i="7"/>
  <c r="L84" i="7"/>
  <c r="L82" i="7"/>
  <c r="L81" i="7"/>
  <c r="L83" i="7"/>
  <c r="L85" i="7"/>
  <c r="L94" i="8"/>
  <c r="L89" i="8"/>
  <c r="L88" i="8"/>
  <c r="L91" i="8"/>
  <c r="L90" i="8"/>
  <c r="L93" i="8"/>
  <c r="L92" i="8"/>
  <c r="L222" i="4"/>
  <c r="L216" i="4"/>
  <c r="L217" i="4"/>
  <c r="L218" i="4"/>
  <c r="L219" i="4"/>
  <c r="L221" i="4"/>
  <c r="L220" i="4"/>
  <c r="K331" i="9"/>
  <c r="K326" i="9"/>
  <c r="K325" i="9"/>
  <c r="K329" i="9"/>
  <c r="K330" i="9"/>
  <c r="K327" i="9"/>
  <c r="K328" i="9"/>
  <c r="L336" i="9"/>
  <c r="L332" i="9"/>
  <c r="L325" i="9"/>
  <c r="L327" i="9"/>
  <c r="L326" i="9"/>
  <c r="L333" i="9"/>
  <c r="L335" i="9"/>
  <c r="L331" i="9"/>
  <c r="L329" i="9"/>
  <c r="L330" i="9"/>
  <c r="L328" i="9"/>
  <c r="L44" i="7"/>
  <c r="L40" i="7"/>
  <c r="L39" i="7"/>
  <c r="L38" i="7"/>
  <c r="L41" i="7"/>
  <c r="L43" i="7"/>
  <c r="L42" i="7"/>
  <c r="L48" i="8"/>
  <c r="L42" i="8"/>
  <c r="L44" i="8"/>
  <c r="L47" i="8"/>
  <c r="L45" i="8"/>
  <c r="L43" i="8"/>
  <c r="L46" i="8"/>
  <c r="L259" i="11"/>
  <c r="L264" i="11"/>
  <c r="L253" i="11"/>
  <c r="L261" i="11"/>
  <c r="L255" i="11"/>
  <c r="L254" i="11"/>
  <c r="L260" i="11"/>
  <c r="L263" i="11"/>
  <c r="L256" i="11"/>
  <c r="L245" i="11"/>
  <c r="L244" i="11"/>
  <c r="L251" i="11"/>
  <c r="L246" i="11"/>
  <c r="L248" i="11"/>
  <c r="L243" i="11"/>
  <c r="L242" i="11"/>
  <c r="L250" i="11"/>
  <c r="L247" i="11"/>
  <c r="L240" i="11"/>
  <c r="L241" i="11"/>
  <c r="H96" i="11"/>
  <c r="L96" i="11" s="1"/>
  <c r="L64" i="11"/>
  <c r="H127" i="11"/>
  <c r="L127" i="11" s="1"/>
  <c r="L52" i="11"/>
  <c r="L51" i="11"/>
  <c r="L49" i="11"/>
  <c r="L53" i="11"/>
  <c r="L48" i="11"/>
  <c r="L50" i="11"/>
  <c r="L47" i="11"/>
  <c r="J42" i="11"/>
  <c r="L42" i="11" s="1"/>
  <c r="L45" i="11"/>
  <c r="L44" i="11"/>
  <c r="L46" i="11"/>
  <c r="L107" i="11"/>
  <c r="J103" i="11"/>
  <c r="L103" i="11" s="1"/>
  <c r="L106" i="11"/>
  <c r="L105" i="11"/>
  <c r="L145" i="11"/>
  <c r="L143" i="11"/>
  <c r="L141" i="11"/>
  <c r="L140" i="11"/>
  <c r="L142" i="11"/>
  <c r="L139" i="11"/>
  <c r="L144" i="11"/>
  <c r="L76" i="11"/>
  <c r="J72" i="11"/>
  <c r="L72" i="11" s="1"/>
  <c r="L74" i="11"/>
  <c r="L75" i="11"/>
  <c r="L138" i="11"/>
  <c r="L137" i="11"/>
  <c r="J134" i="11"/>
  <c r="L134" i="11" s="1"/>
  <c r="L136" i="11"/>
  <c r="H161" i="10"/>
  <c r="L161" i="10" s="1"/>
  <c r="H76" i="10"/>
  <c r="L76" i="10" s="1"/>
  <c r="H101" i="10"/>
  <c r="L101" i="10" s="1"/>
  <c r="H131" i="10"/>
  <c r="L131" i="10" s="1"/>
  <c r="L50" i="10"/>
  <c r="F218" i="10"/>
  <c r="E252" i="10"/>
  <c r="F260" i="10" s="1"/>
  <c r="F246" i="10" s="1"/>
  <c r="D135" i="5"/>
  <c r="D256" i="7" l="1"/>
  <c r="D228" i="7"/>
  <c r="D239" i="4"/>
  <c r="D267" i="4" s="1"/>
  <c r="D240" i="9"/>
  <c r="D268" i="9" s="1"/>
  <c r="D239" i="8"/>
  <c r="D267" i="8" s="1"/>
  <c r="D155" i="11"/>
  <c r="D183" i="11" s="1"/>
  <c r="D190" i="10"/>
  <c r="H97" i="4"/>
  <c r="H26" i="4"/>
  <c r="K175" i="11" l="1"/>
  <c r="D218" i="10"/>
  <c r="K161" i="11"/>
  <c r="K174" i="11"/>
  <c r="K189" i="11"/>
  <c r="K160" i="11"/>
  <c r="K210" i="10"/>
  <c r="K196" i="10"/>
  <c r="K209" i="10"/>
  <c r="K195" i="10"/>
  <c r="C268" i="9"/>
  <c r="C324" i="9" s="1"/>
  <c r="H321" i="9"/>
  <c r="H320" i="9"/>
  <c r="H319" i="9"/>
  <c r="H318" i="9"/>
  <c r="H317" i="9"/>
  <c r="I316" i="9"/>
  <c r="H316" i="9"/>
  <c r="I315" i="9"/>
  <c r="H315" i="9"/>
  <c r="H314" i="9"/>
  <c r="H313" i="9"/>
  <c r="H312" i="9"/>
  <c r="H311" i="9"/>
  <c r="H307" i="9"/>
  <c r="H306" i="9"/>
  <c r="H305" i="9"/>
  <c r="H304" i="9"/>
  <c r="H303" i="9"/>
  <c r="I302" i="9"/>
  <c r="H302" i="9"/>
  <c r="I301" i="9"/>
  <c r="H301" i="9"/>
  <c r="H300" i="9"/>
  <c r="H299" i="9"/>
  <c r="H298" i="9"/>
  <c r="H297" i="9"/>
  <c r="H293" i="9"/>
  <c r="H292" i="9"/>
  <c r="H291" i="9"/>
  <c r="H290" i="9"/>
  <c r="H289" i="9"/>
  <c r="I288" i="9"/>
  <c r="H288" i="9"/>
  <c r="I287" i="9"/>
  <c r="H287" i="9"/>
  <c r="H286" i="9"/>
  <c r="H285" i="9"/>
  <c r="H284" i="9"/>
  <c r="H283" i="9"/>
  <c r="H279" i="9"/>
  <c r="H278" i="9"/>
  <c r="H277" i="9"/>
  <c r="H276" i="9"/>
  <c r="H275" i="9"/>
  <c r="I274" i="9"/>
  <c r="H274" i="9"/>
  <c r="I273" i="9"/>
  <c r="H273" i="9"/>
  <c r="H272" i="9"/>
  <c r="H271" i="9"/>
  <c r="H270" i="9"/>
  <c r="H269" i="9"/>
  <c r="F254" i="9"/>
  <c r="F240" i="9" s="1"/>
  <c r="H309" i="7"/>
  <c r="H308" i="7"/>
  <c r="H307" i="7"/>
  <c r="H306" i="7"/>
  <c r="H305" i="7"/>
  <c r="I304" i="7"/>
  <c r="H304" i="7"/>
  <c r="I303" i="7"/>
  <c r="H303" i="7"/>
  <c r="H302" i="7"/>
  <c r="H301" i="7"/>
  <c r="H300" i="7"/>
  <c r="H299" i="7"/>
  <c r="H295" i="7"/>
  <c r="H294" i="7"/>
  <c r="H293" i="7"/>
  <c r="H292" i="7"/>
  <c r="H291" i="7"/>
  <c r="I290" i="7"/>
  <c r="H290" i="7"/>
  <c r="I289" i="7"/>
  <c r="H289" i="7"/>
  <c r="H288" i="7"/>
  <c r="H287" i="7"/>
  <c r="H286" i="7"/>
  <c r="H285" i="7"/>
  <c r="H281" i="7"/>
  <c r="H280" i="7"/>
  <c r="H279" i="7"/>
  <c r="H278" i="7"/>
  <c r="H277" i="7"/>
  <c r="I276" i="7"/>
  <c r="H276" i="7"/>
  <c r="I275" i="7"/>
  <c r="H275" i="7"/>
  <c r="H274" i="7"/>
  <c r="H273" i="7"/>
  <c r="H272" i="7"/>
  <c r="H271" i="7"/>
  <c r="H267" i="7"/>
  <c r="H266" i="7"/>
  <c r="H265" i="7"/>
  <c r="H264" i="7"/>
  <c r="H263" i="7"/>
  <c r="I262" i="7"/>
  <c r="H262" i="7"/>
  <c r="I261" i="7"/>
  <c r="H261" i="7"/>
  <c r="H260" i="7"/>
  <c r="H259" i="7"/>
  <c r="H258" i="7"/>
  <c r="H257" i="7"/>
  <c r="F242" i="7"/>
  <c r="F228" i="7" s="1"/>
  <c r="F239" i="8"/>
  <c r="H320" i="8"/>
  <c r="H319" i="8"/>
  <c r="H318" i="8"/>
  <c r="H317" i="8"/>
  <c r="H316" i="8"/>
  <c r="I315" i="8"/>
  <c r="H315" i="8"/>
  <c r="I314" i="8"/>
  <c r="H314" i="8"/>
  <c r="H313" i="8"/>
  <c r="H312" i="8"/>
  <c r="H311" i="8"/>
  <c r="H310" i="8"/>
  <c r="H306" i="8"/>
  <c r="H305" i="8"/>
  <c r="H304" i="8"/>
  <c r="H303" i="8"/>
  <c r="H302" i="8"/>
  <c r="I301" i="8"/>
  <c r="H301" i="8"/>
  <c r="I300" i="8"/>
  <c r="H300" i="8"/>
  <c r="H299" i="8"/>
  <c r="H298" i="8"/>
  <c r="H297" i="8"/>
  <c r="H296" i="8"/>
  <c r="H292" i="8"/>
  <c r="H291" i="8"/>
  <c r="H290" i="8"/>
  <c r="H289" i="8"/>
  <c r="H288" i="8"/>
  <c r="I287" i="8"/>
  <c r="H287" i="8"/>
  <c r="I286" i="8"/>
  <c r="H286" i="8"/>
  <c r="H285" i="8"/>
  <c r="H284" i="8"/>
  <c r="H283" i="8"/>
  <c r="H282" i="8"/>
  <c r="H278" i="8"/>
  <c r="H277" i="8"/>
  <c r="H276" i="8"/>
  <c r="H275" i="8"/>
  <c r="H274" i="8"/>
  <c r="I273" i="8"/>
  <c r="H273" i="8"/>
  <c r="I272" i="8"/>
  <c r="H272" i="8"/>
  <c r="H271" i="8"/>
  <c r="H270" i="8"/>
  <c r="H269" i="8"/>
  <c r="H268" i="8"/>
  <c r="H338" i="8"/>
  <c r="H339" i="8"/>
  <c r="J339" i="8"/>
  <c r="L341" i="8"/>
  <c r="H342" i="8"/>
  <c r="J343" i="8"/>
  <c r="J344" i="8" s="1"/>
  <c r="H344" i="8"/>
  <c r="H345" i="8"/>
  <c r="H346" i="8"/>
  <c r="H347" i="8"/>
  <c r="L351" i="8"/>
  <c r="H352" i="8"/>
  <c r="L352" i="8" s="1"/>
  <c r="J353" i="8"/>
  <c r="J356" i="8" s="1"/>
  <c r="H354" i="8"/>
  <c r="H355" i="8"/>
  <c r="H356" i="8"/>
  <c r="H357" i="8"/>
  <c r="K216" i="11" l="1"/>
  <c r="K203" i="11"/>
  <c r="K217" i="11"/>
  <c r="K202" i="11"/>
  <c r="K230" i="11"/>
  <c r="K231" i="11"/>
  <c r="K188" i="11"/>
  <c r="K266" i="10"/>
  <c r="K251" i="10"/>
  <c r="K265" i="10"/>
  <c r="K238" i="10"/>
  <c r="K224" i="10"/>
  <c r="K252" i="10"/>
  <c r="K237" i="10"/>
  <c r="K223" i="10"/>
  <c r="L301" i="9"/>
  <c r="L316" i="9"/>
  <c r="L315" i="9"/>
  <c r="L304" i="7"/>
  <c r="L301" i="8"/>
  <c r="L289" i="7"/>
  <c r="L302" i="9"/>
  <c r="J345" i="8"/>
  <c r="L345" i="8" s="1"/>
  <c r="J346" i="8"/>
  <c r="L346" i="8" s="1"/>
  <c r="L290" i="7"/>
  <c r="L303" i="7"/>
  <c r="L344" i="8"/>
  <c r="L356" i="8"/>
  <c r="J354" i="8"/>
  <c r="L354" i="8" s="1"/>
  <c r="L314" i="8"/>
  <c r="L339" i="8"/>
  <c r="L315" i="8"/>
  <c r="L300" i="8"/>
  <c r="J355" i="8"/>
  <c r="L355" i="8" s="1"/>
  <c r="F270" i="7"/>
  <c r="E290" i="7" s="1"/>
  <c r="I218" i="11" l="1"/>
  <c r="K218" i="11" s="1"/>
  <c r="I162" i="11"/>
  <c r="K162" i="11" s="1"/>
  <c r="I190" i="11"/>
  <c r="K190" i="11" s="1"/>
  <c r="I225" i="10"/>
  <c r="K225" i="10" s="1"/>
  <c r="I253" i="10"/>
  <c r="K253" i="10" s="1"/>
  <c r="I197" i="10"/>
  <c r="K197" i="10" s="1"/>
  <c r="F298" i="7"/>
  <c r="F284" i="7" s="1"/>
  <c r="L276" i="7"/>
  <c r="F256" i="7"/>
  <c r="I275" i="9"/>
  <c r="I291" i="7"/>
  <c r="I274" i="8"/>
  <c r="I302" i="8"/>
  <c r="I303" i="9"/>
  <c r="I263" i="7"/>
  <c r="L287" i="9"/>
  <c r="L288" i="9"/>
  <c r="L274" i="9"/>
  <c r="L261" i="7"/>
  <c r="L275" i="7"/>
  <c r="L286" i="8"/>
  <c r="L273" i="8"/>
  <c r="L272" i="8"/>
  <c r="L287" i="8"/>
  <c r="L262" i="7"/>
  <c r="L273" i="9"/>
  <c r="F282" i="9"/>
  <c r="H320" i="4"/>
  <c r="H319" i="4"/>
  <c r="H318" i="4"/>
  <c r="H317" i="4"/>
  <c r="H316" i="4"/>
  <c r="H315" i="4"/>
  <c r="H314" i="4"/>
  <c r="H313" i="4"/>
  <c r="H312" i="4"/>
  <c r="H311" i="4"/>
  <c r="H310" i="4"/>
  <c r="H306" i="4"/>
  <c r="H305" i="4"/>
  <c r="H304" i="4"/>
  <c r="H303" i="4"/>
  <c r="H302" i="4"/>
  <c r="H301" i="4"/>
  <c r="H300" i="4"/>
  <c r="H299" i="4"/>
  <c r="H298" i="4"/>
  <c r="H297" i="4"/>
  <c r="H296" i="4"/>
  <c r="H292" i="4"/>
  <c r="H291" i="4"/>
  <c r="H290" i="4"/>
  <c r="H289" i="4"/>
  <c r="H288" i="4"/>
  <c r="H287" i="4"/>
  <c r="H286" i="4"/>
  <c r="L286" i="4" s="1"/>
  <c r="H285" i="4"/>
  <c r="H284" i="4"/>
  <c r="H283" i="4"/>
  <c r="H282" i="4"/>
  <c r="H278" i="4"/>
  <c r="H277" i="4"/>
  <c r="H276" i="4"/>
  <c r="H275" i="4"/>
  <c r="H274" i="4"/>
  <c r="H273" i="4"/>
  <c r="H272" i="4"/>
  <c r="L272" i="4" s="1"/>
  <c r="H271" i="4"/>
  <c r="H270" i="4"/>
  <c r="H269" i="4"/>
  <c r="H268" i="4"/>
  <c r="F253" i="4"/>
  <c r="F239" i="4" s="1"/>
  <c r="H264" i="4"/>
  <c r="H263" i="4"/>
  <c r="H262" i="4"/>
  <c r="H261" i="4"/>
  <c r="H260" i="4"/>
  <c r="H259" i="4"/>
  <c r="H258" i="4"/>
  <c r="H257" i="4"/>
  <c r="H256" i="4"/>
  <c r="H255" i="4"/>
  <c r="H254" i="4"/>
  <c r="H250" i="4"/>
  <c r="H249" i="4"/>
  <c r="H248" i="4"/>
  <c r="H247" i="4"/>
  <c r="H246" i="4"/>
  <c r="H245" i="4"/>
  <c r="H244" i="4"/>
  <c r="H243" i="4"/>
  <c r="H242" i="4"/>
  <c r="H241" i="4"/>
  <c r="H240" i="4"/>
  <c r="K258" i="4" l="1"/>
  <c r="K244" i="4"/>
  <c r="I186" i="11"/>
  <c r="I187" i="11"/>
  <c r="J191" i="11"/>
  <c r="L191" i="11" s="1"/>
  <c r="J192" i="11"/>
  <c r="L192" i="11" s="1"/>
  <c r="L190" i="11"/>
  <c r="I185" i="11"/>
  <c r="J194" i="11"/>
  <c r="L194" i="11" s="1"/>
  <c r="I184" i="11"/>
  <c r="I158" i="11"/>
  <c r="L162" i="11"/>
  <c r="J166" i="11"/>
  <c r="L166" i="11" s="1"/>
  <c r="I159" i="11"/>
  <c r="J164" i="11"/>
  <c r="L164" i="11" s="1"/>
  <c r="I156" i="11"/>
  <c r="I157" i="11"/>
  <c r="J163" i="11"/>
  <c r="L163" i="11" s="1"/>
  <c r="L218" i="11"/>
  <c r="J220" i="11"/>
  <c r="L220" i="11" s="1"/>
  <c r="I215" i="11"/>
  <c r="I214" i="11"/>
  <c r="J222" i="11"/>
  <c r="L222" i="11" s="1"/>
  <c r="J219" i="11"/>
  <c r="L219" i="11" s="1"/>
  <c r="I212" i="11"/>
  <c r="I213" i="11"/>
  <c r="I191" i="10"/>
  <c r="I192" i="10"/>
  <c r="J199" i="10"/>
  <c r="L199" i="10" s="1"/>
  <c r="J198" i="10"/>
  <c r="L198" i="10" s="1"/>
  <c r="I193" i="10"/>
  <c r="I194" i="10"/>
  <c r="L197" i="10"/>
  <c r="J201" i="10"/>
  <c r="L201" i="10" s="1"/>
  <c r="J255" i="10"/>
  <c r="L255" i="10" s="1"/>
  <c r="J254" i="10"/>
  <c r="L254" i="10" s="1"/>
  <c r="I247" i="10"/>
  <c r="I250" i="10"/>
  <c r="I249" i="10"/>
  <c r="L253" i="10"/>
  <c r="I248" i="10"/>
  <c r="J257" i="10"/>
  <c r="L257" i="10" s="1"/>
  <c r="L225" i="10"/>
  <c r="I221" i="10"/>
  <c r="I222" i="10"/>
  <c r="I220" i="10"/>
  <c r="J229" i="10"/>
  <c r="L229" i="10" s="1"/>
  <c r="J227" i="10"/>
  <c r="L227" i="10" s="1"/>
  <c r="I219" i="10"/>
  <c r="J226" i="10"/>
  <c r="L226" i="10" s="1"/>
  <c r="L287" i="4"/>
  <c r="L273" i="4"/>
  <c r="L301" i="4"/>
  <c r="F268" i="9"/>
  <c r="E302" i="9"/>
  <c r="F310" i="9" s="1"/>
  <c r="F296" i="9" s="1"/>
  <c r="L300" i="4"/>
  <c r="L315" i="4"/>
  <c r="I269" i="9"/>
  <c r="L269" i="9" s="1"/>
  <c r="I270" i="9"/>
  <c r="L270" i="9" s="1"/>
  <c r="I271" i="9"/>
  <c r="L271" i="9" s="1"/>
  <c r="I272" i="9"/>
  <c r="L272" i="9" s="1"/>
  <c r="J279" i="9"/>
  <c r="L279" i="9" s="1"/>
  <c r="J276" i="9"/>
  <c r="L276" i="9" s="1"/>
  <c r="L275" i="9"/>
  <c r="J277" i="9"/>
  <c r="L277" i="9" s="1"/>
  <c r="I285" i="7"/>
  <c r="L285" i="7" s="1"/>
  <c r="J292" i="7"/>
  <c r="L292" i="7" s="1"/>
  <c r="J293" i="7"/>
  <c r="L293" i="7" s="1"/>
  <c r="I286" i="7"/>
  <c r="L286" i="7" s="1"/>
  <c r="I288" i="7"/>
  <c r="L288" i="7" s="1"/>
  <c r="J295" i="7"/>
  <c r="L295" i="7" s="1"/>
  <c r="L291" i="7"/>
  <c r="I287" i="7"/>
  <c r="L287" i="7" s="1"/>
  <c r="J265" i="7"/>
  <c r="L265" i="7" s="1"/>
  <c r="I258" i="7"/>
  <c r="L258" i="7" s="1"/>
  <c r="I260" i="7"/>
  <c r="L260" i="7" s="1"/>
  <c r="I259" i="7"/>
  <c r="L259" i="7" s="1"/>
  <c r="L263" i="7"/>
  <c r="I257" i="7"/>
  <c r="L257" i="7" s="1"/>
  <c r="J264" i="7"/>
  <c r="L264" i="7" s="1"/>
  <c r="J267" i="7"/>
  <c r="L267" i="7" s="1"/>
  <c r="J305" i="9"/>
  <c r="L305" i="9" s="1"/>
  <c r="L303" i="9"/>
  <c r="I297" i="9"/>
  <c r="L297" i="9" s="1"/>
  <c r="J307" i="9"/>
  <c r="L307" i="9" s="1"/>
  <c r="I298" i="9"/>
  <c r="L298" i="9" s="1"/>
  <c r="I300" i="9"/>
  <c r="L300" i="9" s="1"/>
  <c r="I299" i="9"/>
  <c r="L299" i="9" s="1"/>
  <c r="J304" i="9"/>
  <c r="L304" i="9" s="1"/>
  <c r="I296" i="8"/>
  <c r="L296" i="8" s="1"/>
  <c r="L302" i="8"/>
  <c r="I299" i="8"/>
  <c r="L299" i="8" s="1"/>
  <c r="I297" i="8"/>
  <c r="L297" i="8" s="1"/>
  <c r="J303" i="8"/>
  <c r="L303" i="8" s="1"/>
  <c r="J304" i="8"/>
  <c r="L304" i="8" s="1"/>
  <c r="I298" i="8"/>
  <c r="L298" i="8" s="1"/>
  <c r="J306" i="8"/>
  <c r="L306" i="8" s="1"/>
  <c r="L314" i="4"/>
  <c r="I270" i="8"/>
  <c r="L270" i="8" s="1"/>
  <c r="J278" i="8"/>
  <c r="L278" i="8" s="1"/>
  <c r="I271" i="8"/>
  <c r="L271" i="8" s="1"/>
  <c r="I268" i="8"/>
  <c r="L268" i="8" s="1"/>
  <c r="L274" i="8"/>
  <c r="J276" i="8"/>
  <c r="L276" i="8" s="1"/>
  <c r="I269" i="8"/>
  <c r="L269" i="8" s="1"/>
  <c r="J275" i="8"/>
  <c r="L275" i="8" s="1"/>
  <c r="L258" i="4"/>
  <c r="F281" i="4"/>
  <c r="K287" i="4" l="1"/>
  <c r="K286" i="4"/>
  <c r="L221" i="10"/>
  <c r="K221" i="10"/>
  <c r="L194" i="10"/>
  <c r="K194" i="10"/>
  <c r="L156" i="11"/>
  <c r="K156" i="11"/>
  <c r="L185" i="11"/>
  <c r="K185" i="11"/>
  <c r="K304" i="7"/>
  <c r="K290" i="7"/>
  <c r="K286" i="7"/>
  <c r="K276" i="7"/>
  <c r="K261" i="7"/>
  <c r="K257" i="7"/>
  <c r="K262" i="7"/>
  <c r="K303" i="7"/>
  <c r="K289" i="7"/>
  <c r="K285" i="7"/>
  <c r="K275" i="7"/>
  <c r="K260" i="7"/>
  <c r="K288" i="7"/>
  <c r="K259" i="7"/>
  <c r="K291" i="7"/>
  <c r="K287" i="7"/>
  <c r="K263" i="7"/>
  <c r="K258" i="7"/>
  <c r="L249" i="10"/>
  <c r="K249" i="10"/>
  <c r="L193" i="10"/>
  <c r="K193" i="10"/>
  <c r="L191" i="10"/>
  <c r="K191" i="10"/>
  <c r="L158" i="11"/>
  <c r="K158" i="11"/>
  <c r="L186" i="11"/>
  <c r="K186" i="11"/>
  <c r="L192" i="10"/>
  <c r="K192" i="10"/>
  <c r="L187" i="11"/>
  <c r="K187" i="11"/>
  <c r="L220" i="10"/>
  <c r="K220" i="10"/>
  <c r="L250" i="10"/>
  <c r="K250" i="10"/>
  <c r="L213" i="11"/>
  <c r="K213" i="11"/>
  <c r="L214" i="11"/>
  <c r="K214" i="11"/>
  <c r="L159" i="11"/>
  <c r="K159" i="11"/>
  <c r="L184" i="11"/>
  <c r="K184" i="11"/>
  <c r="K299" i="9"/>
  <c r="K316" i="9"/>
  <c r="K302" i="9"/>
  <c r="K297" i="9"/>
  <c r="K272" i="9"/>
  <c r="K287" i="9"/>
  <c r="K303" i="9"/>
  <c r="K273" i="9"/>
  <c r="K301" i="9"/>
  <c r="K271" i="9"/>
  <c r="K315" i="9"/>
  <c r="K298" i="9"/>
  <c r="K274" i="9"/>
  <c r="K269" i="9"/>
  <c r="K300" i="9"/>
  <c r="K288" i="9"/>
  <c r="K275" i="9"/>
  <c r="K270" i="9"/>
  <c r="L219" i="10"/>
  <c r="K219" i="10"/>
  <c r="L222" i="10"/>
  <c r="K222" i="10"/>
  <c r="L248" i="10"/>
  <c r="K248" i="10"/>
  <c r="L247" i="10"/>
  <c r="K247" i="10"/>
  <c r="L212" i="11"/>
  <c r="K212" i="11"/>
  <c r="L215" i="11"/>
  <c r="K215" i="11"/>
  <c r="L157" i="11"/>
  <c r="K157" i="11"/>
  <c r="F267" i="4"/>
  <c r="E301" i="4"/>
  <c r="F309" i="4" s="1"/>
  <c r="D123" i="5"/>
  <c r="F24" i="11" l="1"/>
  <c r="K25" i="11" s="1"/>
  <c r="F40" i="10"/>
  <c r="F17" i="10" s="1"/>
  <c r="F169" i="9"/>
  <c r="F117" i="9"/>
  <c r="F169" i="4"/>
  <c r="F117" i="4"/>
  <c r="K272" i="4"/>
  <c r="K273" i="4"/>
  <c r="K314" i="4"/>
  <c r="K315" i="4"/>
  <c r="F84" i="11"/>
  <c r="F89" i="10"/>
  <c r="F144" i="10"/>
  <c r="F295" i="4"/>
  <c r="J210" i="8"/>
  <c r="J208" i="8"/>
  <c r="H208" i="8"/>
  <c r="H207" i="8"/>
  <c r="J206" i="8"/>
  <c r="H206" i="8"/>
  <c r="J205" i="8"/>
  <c r="H205" i="8"/>
  <c r="H204" i="8"/>
  <c r="J183" i="8"/>
  <c r="J181" i="8"/>
  <c r="H181" i="8"/>
  <c r="H180" i="8"/>
  <c r="J179" i="8"/>
  <c r="H179" i="8"/>
  <c r="J178" i="8"/>
  <c r="H178" i="8"/>
  <c r="H177" i="8"/>
  <c r="J210" i="4"/>
  <c r="J208" i="4"/>
  <c r="H208" i="4"/>
  <c r="H207" i="4"/>
  <c r="J206" i="4"/>
  <c r="H206" i="4"/>
  <c r="J205" i="4"/>
  <c r="H205" i="4"/>
  <c r="H204" i="4"/>
  <c r="J181" i="4"/>
  <c r="J179" i="4"/>
  <c r="J178" i="4"/>
  <c r="J183" i="4"/>
  <c r="H181" i="4"/>
  <c r="H180" i="4"/>
  <c r="H179" i="4"/>
  <c r="H178" i="4"/>
  <c r="H177" i="4"/>
  <c r="J169" i="8"/>
  <c r="J177" i="8" s="1"/>
  <c r="H200" i="8"/>
  <c r="L200" i="8" s="1"/>
  <c r="H199" i="8"/>
  <c r="L199" i="8" s="1"/>
  <c r="H198" i="8"/>
  <c r="L198" i="8" s="1"/>
  <c r="H197" i="8"/>
  <c r="L197" i="8" s="1"/>
  <c r="J196" i="8"/>
  <c r="J204" i="8" s="1"/>
  <c r="H173" i="8"/>
  <c r="L173" i="8" s="1"/>
  <c r="H172" i="8"/>
  <c r="L172" i="8" s="1"/>
  <c r="H171" i="8"/>
  <c r="L171" i="8" s="1"/>
  <c r="H170" i="8"/>
  <c r="L170" i="8" s="1"/>
  <c r="J169" i="4"/>
  <c r="J180" i="4" s="1"/>
  <c r="H173" i="4"/>
  <c r="L173" i="4" s="1"/>
  <c r="H172" i="4"/>
  <c r="L172" i="4" s="1"/>
  <c r="H171" i="4"/>
  <c r="L171" i="4" s="1"/>
  <c r="H170" i="4"/>
  <c r="L170" i="4" s="1"/>
  <c r="H200" i="4"/>
  <c r="L200" i="4" s="1"/>
  <c r="H199" i="4"/>
  <c r="L199" i="4" s="1"/>
  <c r="H198" i="4"/>
  <c r="L198" i="4" s="1"/>
  <c r="H197" i="4"/>
  <c r="L197" i="4" s="1"/>
  <c r="J196" i="4"/>
  <c r="J204" i="4" s="1"/>
  <c r="H203" i="8"/>
  <c r="L203" i="8" s="1"/>
  <c r="H202" i="8"/>
  <c r="L202" i="8" s="1"/>
  <c r="H176" i="8"/>
  <c r="L176" i="8" s="1"/>
  <c r="H175" i="8"/>
  <c r="L175" i="8" s="1"/>
  <c r="H203" i="4"/>
  <c r="L203" i="4" s="1"/>
  <c r="H202" i="4"/>
  <c r="L202" i="4" s="1"/>
  <c r="H176" i="4"/>
  <c r="L176" i="4" s="1"/>
  <c r="H175" i="4"/>
  <c r="L175" i="4" s="1"/>
  <c r="J159" i="7"/>
  <c r="J172" i="7"/>
  <c r="J170" i="7"/>
  <c r="H170" i="7"/>
  <c r="H169" i="7"/>
  <c r="J168" i="7"/>
  <c r="H168" i="7"/>
  <c r="J167" i="7"/>
  <c r="H167" i="7"/>
  <c r="H166" i="7"/>
  <c r="H165" i="7"/>
  <c r="L165" i="7" s="1"/>
  <c r="H164" i="7"/>
  <c r="L164" i="7" s="1"/>
  <c r="H163" i="7"/>
  <c r="L163" i="7" s="1"/>
  <c r="H162" i="7"/>
  <c r="L162" i="7" s="1"/>
  <c r="H161" i="7"/>
  <c r="L161" i="7" s="1"/>
  <c r="H160" i="7"/>
  <c r="L160" i="7" s="1"/>
  <c r="J198" i="7"/>
  <c r="J196" i="7"/>
  <c r="H196" i="7"/>
  <c r="H195" i="7"/>
  <c r="J194" i="7"/>
  <c r="H194" i="7"/>
  <c r="J193" i="7"/>
  <c r="H193" i="7"/>
  <c r="H192" i="7"/>
  <c r="H191" i="7"/>
  <c r="L191" i="7" s="1"/>
  <c r="H190" i="7"/>
  <c r="L190" i="7" s="1"/>
  <c r="H189" i="7"/>
  <c r="L189" i="7" s="1"/>
  <c r="H188" i="7"/>
  <c r="L188" i="7" s="1"/>
  <c r="H187" i="7"/>
  <c r="L187" i="7" s="1"/>
  <c r="H186" i="7"/>
  <c r="L186" i="7" s="1"/>
  <c r="J185" i="7"/>
  <c r="J192" i="7" s="1"/>
  <c r="H357" i="4"/>
  <c r="H356" i="4"/>
  <c r="H355" i="4"/>
  <c r="H354" i="4"/>
  <c r="H347" i="4"/>
  <c r="H346" i="4"/>
  <c r="H345" i="4"/>
  <c r="H344" i="4"/>
  <c r="H336" i="7"/>
  <c r="H335" i="7"/>
  <c r="H334" i="7"/>
  <c r="H333" i="7"/>
  <c r="H348" i="9"/>
  <c r="H347" i="9"/>
  <c r="H346" i="9"/>
  <c r="H345" i="9"/>
  <c r="D130" i="5"/>
  <c r="D129" i="5"/>
  <c r="E133" i="5"/>
  <c r="G133" i="5"/>
  <c r="D133" i="5"/>
  <c r="D132" i="5"/>
  <c r="D131" i="5"/>
  <c r="F224" i="9"/>
  <c r="F225" i="9" s="1"/>
  <c r="E132" i="5"/>
  <c r="G132" i="5"/>
  <c r="E131" i="5"/>
  <c r="G131" i="5"/>
  <c r="K27" i="11" l="1"/>
  <c r="K28" i="11"/>
  <c r="F114" i="10"/>
  <c r="K114" i="10" s="1"/>
  <c r="K144" i="10"/>
  <c r="F65" i="10"/>
  <c r="K92" i="10"/>
  <c r="K18" i="10"/>
  <c r="K17" i="10"/>
  <c r="K26" i="11"/>
  <c r="K24" i="11"/>
  <c r="J12" i="10"/>
  <c r="I337" i="4"/>
  <c r="I288" i="10"/>
  <c r="K288" i="10" s="1"/>
  <c r="I266" i="11"/>
  <c r="I270" i="11" s="1"/>
  <c r="J17" i="4"/>
  <c r="J18" i="4" s="1"/>
  <c r="K29" i="11"/>
  <c r="I231" i="4"/>
  <c r="J278" i="11"/>
  <c r="L278" i="11" s="1"/>
  <c r="J298" i="10"/>
  <c r="J279" i="11"/>
  <c r="K279" i="11" s="1"/>
  <c r="J299" i="10"/>
  <c r="H143" i="8"/>
  <c r="H143" i="9"/>
  <c r="L143" i="9" s="1"/>
  <c r="H143" i="4"/>
  <c r="F143" i="9"/>
  <c r="K120" i="9"/>
  <c r="K119" i="9"/>
  <c r="K121" i="9"/>
  <c r="K118" i="9"/>
  <c r="K117" i="9"/>
  <c r="K136" i="9"/>
  <c r="F196" i="9"/>
  <c r="K170" i="9"/>
  <c r="K172" i="9"/>
  <c r="K171" i="9"/>
  <c r="K169" i="9"/>
  <c r="K176" i="9"/>
  <c r="K175" i="9"/>
  <c r="K189" i="9"/>
  <c r="K173" i="9"/>
  <c r="I220" i="7"/>
  <c r="L208" i="8"/>
  <c r="L208" i="4"/>
  <c r="K301" i="4"/>
  <c r="K300" i="4"/>
  <c r="F115" i="11"/>
  <c r="K88" i="11"/>
  <c r="K89" i="11"/>
  <c r="K90" i="11"/>
  <c r="K84" i="11"/>
  <c r="K108" i="11"/>
  <c r="K85" i="11"/>
  <c r="K86" i="11"/>
  <c r="K87" i="11"/>
  <c r="K47" i="11"/>
  <c r="I16" i="11"/>
  <c r="I274" i="11"/>
  <c r="I273" i="11"/>
  <c r="J13" i="11"/>
  <c r="K13" i="11" s="1"/>
  <c r="F54" i="11"/>
  <c r="K59" i="11" s="1"/>
  <c r="I293" i="10"/>
  <c r="K293" i="10" s="1"/>
  <c r="I294" i="10"/>
  <c r="K294" i="10" s="1"/>
  <c r="L193" i="7"/>
  <c r="L167" i="7"/>
  <c r="I342" i="8"/>
  <c r="L342" i="8" s="1"/>
  <c r="I343" i="8"/>
  <c r="J348" i="8"/>
  <c r="J358" i="8"/>
  <c r="L205" i="4"/>
  <c r="J347" i="8"/>
  <c r="L347" i="8" s="1"/>
  <c r="J357" i="8"/>
  <c r="L357" i="8" s="1"/>
  <c r="L181" i="4"/>
  <c r="L206" i="4"/>
  <c r="J17" i="8"/>
  <c r="K17" i="8" s="1"/>
  <c r="I337" i="8"/>
  <c r="J177" i="4"/>
  <c r="L177" i="4" s="1"/>
  <c r="L178" i="8"/>
  <c r="L206" i="8"/>
  <c r="J180" i="8"/>
  <c r="L180" i="8" s="1"/>
  <c r="J207" i="8"/>
  <c r="L207" i="8" s="1"/>
  <c r="L177" i="8"/>
  <c r="L194" i="7"/>
  <c r="L168" i="7"/>
  <c r="L178" i="4"/>
  <c r="L204" i="8"/>
  <c r="J207" i="4"/>
  <c r="L207" i="4" s="1"/>
  <c r="L179" i="8"/>
  <c r="L180" i="4"/>
  <c r="L204" i="4"/>
  <c r="L205" i="8"/>
  <c r="L170" i="7"/>
  <c r="L196" i="7"/>
  <c r="L181" i="8"/>
  <c r="L192" i="7"/>
  <c r="I344" i="9"/>
  <c r="I326" i="7"/>
  <c r="I343" i="9"/>
  <c r="I332" i="7"/>
  <c r="I342" i="4"/>
  <c r="I343" i="4"/>
  <c r="I331" i="7"/>
  <c r="I338" i="9"/>
  <c r="L179" i="4"/>
  <c r="J169" i="7"/>
  <c r="L169" i="7" s="1"/>
  <c r="J166" i="7"/>
  <c r="L166" i="7" s="1"/>
  <c r="J195" i="7"/>
  <c r="L195" i="7" s="1"/>
  <c r="J17" i="7"/>
  <c r="K17" i="7" s="1"/>
  <c r="J17" i="9"/>
  <c r="K17" i="9" s="1"/>
  <c r="K266" i="11" l="1"/>
  <c r="K17" i="4"/>
  <c r="J13" i="10"/>
  <c r="K12" i="10"/>
  <c r="K278" i="11"/>
  <c r="K198" i="9"/>
  <c r="K200" i="9"/>
  <c r="K196" i="9"/>
  <c r="K197" i="9"/>
  <c r="K203" i="9"/>
  <c r="K199" i="9"/>
  <c r="K216" i="9"/>
  <c r="K202" i="9"/>
  <c r="K147" i="9"/>
  <c r="K143" i="9"/>
  <c r="K162" i="9"/>
  <c r="K144" i="9"/>
  <c r="K146" i="9"/>
  <c r="K145" i="9"/>
  <c r="L298" i="10"/>
  <c r="K298" i="10"/>
  <c r="K139" i="11"/>
  <c r="K116" i="11"/>
  <c r="K117" i="11"/>
  <c r="K118" i="11"/>
  <c r="K119" i="11"/>
  <c r="K120" i="11"/>
  <c r="K121" i="11"/>
  <c r="K115" i="11"/>
  <c r="K55" i="11"/>
  <c r="K77" i="11"/>
  <c r="K54" i="11"/>
  <c r="K58" i="11"/>
  <c r="K57" i="11"/>
  <c r="K56" i="11"/>
  <c r="K274" i="11"/>
  <c r="L273" i="11"/>
  <c r="K273" i="11"/>
  <c r="L293" i="10"/>
  <c r="K299" i="10"/>
  <c r="J14" i="11"/>
  <c r="I267" i="11"/>
  <c r="I289" i="10"/>
  <c r="I338" i="8"/>
  <c r="L338" i="8" s="1"/>
  <c r="I259" i="8"/>
  <c r="K259" i="8" s="1"/>
  <c r="I258" i="8"/>
  <c r="K258" i="8" s="1"/>
  <c r="I245" i="8"/>
  <c r="K245" i="8" s="1"/>
  <c r="I244" i="8"/>
  <c r="K244" i="8" s="1"/>
  <c r="K259" i="4"/>
  <c r="K245" i="4"/>
  <c r="J328" i="7"/>
  <c r="I248" i="7"/>
  <c r="K248" i="7" s="1"/>
  <c r="I247" i="7"/>
  <c r="K247" i="7" s="1"/>
  <c r="I234" i="7"/>
  <c r="K234" i="7" s="1"/>
  <c r="I233" i="7"/>
  <c r="K233" i="7" s="1"/>
  <c r="J89" i="7"/>
  <c r="J88" i="7"/>
  <c r="J68" i="7"/>
  <c r="J46" i="7"/>
  <c r="J45" i="7"/>
  <c r="J24" i="7"/>
  <c r="J340" i="9"/>
  <c r="I260" i="9"/>
  <c r="K260" i="9" s="1"/>
  <c r="I259" i="9"/>
  <c r="K259" i="9" s="1"/>
  <c r="I246" i="9"/>
  <c r="K246" i="9" s="1"/>
  <c r="I245" i="9"/>
  <c r="K245" i="9" s="1"/>
  <c r="J212" i="8"/>
  <c r="J185" i="8"/>
  <c r="J158" i="8"/>
  <c r="J132" i="8"/>
  <c r="J106" i="8"/>
  <c r="J84" i="8"/>
  <c r="J62" i="8"/>
  <c r="J38" i="8"/>
  <c r="J212" i="4"/>
  <c r="J185" i="4"/>
  <c r="J158" i="4"/>
  <c r="J132" i="4"/>
  <c r="J106" i="4"/>
  <c r="J83" i="4"/>
  <c r="J60" i="4"/>
  <c r="J36" i="4"/>
  <c r="J200" i="7"/>
  <c r="J174" i="7"/>
  <c r="J148" i="7"/>
  <c r="J123" i="7"/>
  <c r="J98" i="7"/>
  <c r="J77" i="7"/>
  <c r="J56" i="7"/>
  <c r="J34" i="7"/>
  <c r="I21" i="7"/>
  <c r="H21" i="7"/>
  <c r="I20" i="7"/>
  <c r="H20" i="7"/>
  <c r="J18" i="7"/>
  <c r="K18" i="7" s="1"/>
  <c r="H18" i="7"/>
  <c r="I21" i="9"/>
  <c r="H21" i="9"/>
  <c r="I20" i="9"/>
  <c r="H20" i="9"/>
  <c r="H18" i="9"/>
  <c r="J18" i="9"/>
  <c r="K18" i="9" s="1"/>
  <c r="E121" i="5"/>
  <c r="G121" i="5"/>
  <c r="J303" i="5" l="1"/>
  <c r="J305" i="5"/>
  <c r="J316" i="5"/>
  <c r="J299" i="5"/>
  <c r="J309" i="5"/>
  <c r="J311" i="5"/>
  <c r="J308" i="5"/>
  <c r="J318" i="5"/>
  <c r="J301" i="5"/>
  <c r="J312" i="5"/>
  <c r="J300" i="5"/>
  <c r="J310" i="5"/>
  <c r="J307" i="5"/>
  <c r="J304" i="5"/>
  <c r="J314" i="5"/>
  <c r="J302" i="5"/>
  <c r="J313" i="5"/>
  <c r="J315" i="5"/>
  <c r="J306" i="5"/>
  <c r="J317" i="5"/>
  <c r="J298" i="5"/>
  <c r="L181" i="5"/>
  <c r="L178" i="5"/>
  <c r="L189" i="5"/>
  <c r="L171" i="5"/>
  <c r="L182" i="5"/>
  <c r="L170" i="5"/>
  <c r="L180" i="5"/>
  <c r="L177" i="5"/>
  <c r="L174" i="5"/>
  <c r="L184" i="5"/>
  <c r="L172" i="5"/>
  <c r="L183" i="5"/>
  <c r="L185" i="5"/>
  <c r="L176" i="5"/>
  <c r="L187" i="5"/>
  <c r="L173" i="5"/>
  <c r="L175" i="5"/>
  <c r="L186" i="5"/>
  <c r="L188" i="5"/>
  <c r="L179" i="5"/>
  <c r="L190" i="5"/>
  <c r="L289" i="10"/>
  <c r="K289" i="10"/>
  <c r="L267" i="11"/>
  <c r="K267" i="11"/>
  <c r="L14" i="11"/>
  <c r="K14" i="11"/>
  <c r="K270" i="11"/>
  <c r="L13" i="10"/>
  <c r="K13" i="10"/>
  <c r="I271" i="11"/>
  <c r="L18" i="7"/>
  <c r="L18" i="9"/>
  <c r="H352" i="4"/>
  <c r="L352" i="4" s="1"/>
  <c r="H342" i="4"/>
  <c r="L342" i="4" s="1"/>
  <c r="J332" i="7"/>
  <c r="H331" i="7"/>
  <c r="L331" i="7" s="1"/>
  <c r="J344" i="9"/>
  <c r="H343" i="9"/>
  <c r="L343" i="9" s="1"/>
  <c r="K15" i="11"/>
  <c r="L271" i="5" l="1"/>
  <c r="L281" i="5"/>
  <c r="L272" i="5"/>
  <c r="L270" i="5"/>
  <c r="L280" i="5"/>
  <c r="L268" i="5"/>
  <c r="L266" i="5"/>
  <c r="L274" i="5"/>
  <c r="L273" i="5"/>
  <c r="L284" i="5"/>
  <c r="L275" i="5"/>
  <c r="L286" i="5"/>
  <c r="L283" i="5"/>
  <c r="L269" i="5"/>
  <c r="L282" i="5"/>
  <c r="L276" i="5"/>
  <c r="L278" i="5"/>
  <c r="L285" i="5"/>
  <c r="L267" i="5"/>
  <c r="L279" i="5"/>
  <c r="L277" i="5"/>
  <c r="J267" i="5"/>
  <c r="J272" i="5"/>
  <c r="J282" i="5"/>
  <c r="J271" i="5"/>
  <c r="J286" i="5"/>
  <c r="J284" i="5"/>
  <c r="J279" i="5"/>
  <c r="J275" i="5"/>
  <c r="J274" i="5"/>
  <c r="J285" i="5"/>
  <c r="J270" i="5"/>
  <c r="K270" i="5" s="1"/>
  <c r="J268" i="5"/>
  <c r="J280" i="5"/>
  <c r="J281" i="5"/>
  <c r="J283" i="5"/>
  <c r="J277" i="5"/>
  <c r="J266" i="5"/>
  <c r="J273" i="5"/>
  <c r="J278" i="5"/>
  <c r="J269" i="5"/>
  <c r="J276" i="5"/>
  <c r="L271" i="11"/>
  <c r="K271" i="11"/>
  <c r="L302" i="5" s="1"/>
  <c r="K302" i="5" s="1"/>
  <c r="L15" i="11"/>
  <c r="J345" i="4"/>
  <c r="L345" i="4" s="1"/>
  <c r="J347" i="4"/>
  <c r="L347" i="4" s="1"/>
  <c r="J349" i="9"/>
  <c r="J348" i="9"/>
  <c r="L348" i="9" s="1"/>
  <c r="J334" i="7"/>
  <c r="L334" i="7" s="1"/>
  <c r="J336" i="7"/>
  <c r="L336" i="7" s="1"/>
  <c r="J358" i="4"/>
  <c r="J357" i="4"/>
  <c r="L357" i="4" s="1"/>
  <c r="J354" i="4"/>
  <c r="L354" i="4" s="1"/>
  <c r="J356" i="4"/>
  <c r="L356" i="4" s="1"/>
  <c r="J345" i="9"/>
  <c r="L345" i="9" s="1"/>
  <c r="J347" i="9"/>
  <c r="L347" i="9" s="1"/>
  <c r="J335" i="7"/>
  <c r="L335" i="7" s="1"/>
  <c r="J333" i="7"/>
  <c r="L333" i="7" s="1"/>
  <c r="J337" i="7"/>
  <c r="J355" i="4"/>
  <c r="L355" i="4" s="1"/>
  <c r="J344" i="4"/>
  <c r="L344" i="4" s="1"/>
  <c r="J348" i="4"/>
  <c r="J346" i="4"/>
  <c r="L346" i="4" s="1"/>
  <c r="J346" i="9"/>
  <c r="L346" i="9" s="1"/>
  <c r="K277" i="5" l="1"/>
  <c r="K271" i="5"/>
  <c r="K278" i="5"/>
  <c r="K283" i="5"/>
  <c r="K273" i="5"/>
  <c r="K282" i="5"/>
  <c r="K279" i="5"/>
  <c r="K275" i="5"/>
  <c r="K267" i="5"/>
  <c r="K281" i="5"/>
  <c r="K285" i="5"/>
  <c r="K269" i="5"/>
  <c r="L313" i="5"/>
  <c r="K313" i="5" s="1"/>
  <c r="L303" i="5"/>
  <c r="K303" i="5" s="1"/>
  <c r="L298" i="5"/>
  <c r="L309" i="5"/>
  <c r="K309" i="5" s="1"/>
  <c r="L299" i="5"/>
  <c r="K299" i="5" s="1"/>
  <c r="L311" i="5"/>
  <c r="K311" i="5" s="1"/>
  <c r="L300" i="5"/>
  <c r="K300" i="5" s="1"/>
  <c r="L317" i="5"/>
  <c r="K317" i="5" s="1"/>
  <c r="L307" i="5"/>
  <c r="K307" i="5" s="1"/>
  <c r="L318" i="5"/>
  <c r="K318" i="5" s="1"/>
  <c r="L308" i="5"/>
  <c r="K308" i="5" s="1"/>
  <c r="L314" i="5"/>
  <c r="K314" i="5" s="1"/>
  <c r="L315" i="5"/>
  <c r="K315" i="5" s="1"/>
  <c r="L304" i="5"/>
  <c r="K304" i="5" s="1"/>
  <c r="L310" i="5"/>
  <c r="K310" i="5" s="1"/>
  <c r="K276" i="5"/>
  <c r="L316" i="5"/>
  <c r="K316" i="5" s="1"/>
  <c r="L305" i="5"/>
  <c r="K305" i="5" s="1"/>
  <c r="L306" i="5"/>
  <c r="K306" i="5" s="1"/>
  <c r="L312" i="5"/>
  <c r="K312" i="5" s="1"/>
  <c r="L301" i="5"/>
  <c r="K301" i="5" s="1"/>
  <c r="K272" i="5"/>
  <c r="K274" i="5"/>
  <c r="K286" i="5"/>
  <c r="K284" i="5"/>
  <c r="K268" i="5"/>
  <c r="K280" i="5"/>
  <c r="K16" i="11"/>
  <c r="J17" i="11"/>
  <c r="J18" i="11"/>
  <c r="J21" i="11"/>
  <c r="J20" i="11"/>
  <c r="J19" i="11"/>
  <c r="L18" i="11" l="1"/>
  <c r="K18" i="11"/>
  <c r="L19" i="11"/>
  <c r="K19" i="11"/>
  <c r="L17" i="11"/>
  <c r="K17" i="11"/>
  <c r="L20" i="11"/>
  <c r="K20" i="11"/>
  <c r="K21" i="11"/>
  <c r="L151" i="5" l="1"/>
  <c r="L141" i="5"/>
  <c r="L140" i="5"/>
  <c r="L142" i="5"/>
  <c r="L153" i="5"/>
  <c r="L144" i="5"/>
  <c r="L145" i="5"/>
  <c r="L146" i="5"/>
  <c r="L147" i="5"/>
  <c r="L139" i="5"/>
  <c r="L138" i="5"/>
  <c r="L150" i="5"/>
  <c r="L143" i="5"/>
  <c r="L152" i="5"/>
  <c r="L155" i="5"/>
  <c r="L149" i="5"/>
  <c r="L148" i="5"/>
  <c r="L157" i="5"/>
  <c r="L154" i="5"/>
  <c r="L156" i="5"/>
  <c r="L158" i="5"/>
  <c r="E97" i="5"/>
  <c r="D110" i="5"/>
  <c r="E138" i="5"/>
  <c r="G138" i="5"/>
  <c r="L98" i="4"/>
  <c r="L75" i="4"/>
  <c r="H155" i="8" l="1"/>
  <c r="H121" i="7"/>
  <c r="L121" i="7" s="1"/>
  <c r="H129" i="8"/>
  <c r="H146" i="7"/>
  <c r="L146" i="7" s="1"/>
  <c r="H129" i="9"/>
  <c r="L129" i="9" s="1"/>
  <c r="H155" i="4"/>
  <c r="H129" i="4"/>
  <c r="H155" i="9"/>
  <c r="L155" i="9" s="1"/>
  <c r="H28" i="10"/>
  <c r="L28" i="10" s="1"/>
  <c r="H52" i="10"/>
  <c r="L52" i="10" s="1"/>
  <c r="H66" i="11"/>
  <c r="L66" i="11" s="1"/>
  <c r="H36" i="11"/>
  <c r="L36" i="11" s="1"/>
  <c r="H183" i="9"/>
  <c r="L183" i="9" s="1"/>
  <c r="H58" i="9"/>
  <c r="L58" i="9" s="1"/>
  <c r="H34" i="9"/>
  <c r="L34" i="9" s="1"/>
  <c r="H210" i="9"/>
  <c r="L210" i="9" s="1"/>
  <c r="H58" i="4"/>
  <c r="H34" i="4"/>
  <c r="F131" i="9"/>
  <c r="F82" i="9"/>
  <c r="F105" i="9"/>
  <c r="F211" i="9"/>
  <c r="F184" i="9"/>
  <c r="F157" i="9"/>
  <c r="F59" i="9"/>
  <c r="F35" i="9"/>
  <c r="H104" i="9"/>
  <c r="L104" i="9" s="1"/>
  <c r="H81" i="9"/>
  <c r="L81" i="9" s="1"/>
  <c r="H81" i="4"/>
  <c r="L293" i="5"/>
  <c r="N66" i="5" s="1"/>
  <c r="L323" i="5"/>
  <c r="O64" i="5" s="1"/>
  <c r="L291" i="5"/>
  <c r="N64" i="5" s="1"/>
  <c r="L292" i="5"/>
  <c r="N65" i="5" s="1"/>
  <c r="L324" i="5"/>
  <c r="O65" i="5" s="1"/>
  <c r="L325" i="5"/>
  <c r="O66" i="5" s="1"/>
  <c r="L196" i="5"/>
  <c r="K65" i="5" s="1"/>
  <c r="L195" i="5"/>
  <c r="K64" i="5" s="1"/>
  <c r="L197" i="5"/>
  <c r="K66" i="5" s="1"/>
  <c r="L165" i="5"/>
  <c r="J66" i="5" s="1"/>
  <c r="L163" i="5"/>
  <c r="J64" i="5" s="1"/>
  <c r="L164" i="5"/>
  <c r="J65" i="5" s="1"/>
  <c r="L65" i="11"/>
  <c r="H97" i="11"/>
  <c r="L97" i="11" s="1"/>
  <c r="H128" i="11"/>
  <c r="L128" i="11" s="1"/>
  <c r="H182" i="11"/>
  <c r="L182" i="11" s="1"/>
  <c r="H168" i="11"/>
  <c r="L168" i="11" s="1"/>
  <c r="H210" i="11"/>
  <c r="L210" i="11" s="1"/>
  <c r="H196" i="11"/>
  <c r="L196" i="11" s="1"/>
  <c r="H238" i="11"/>
  <c r="L238" i="11" s="1"/>
  <c r="H224" i="11"/>
  <c r="L224" i="11" s="1"/>
  <c r="F129" i="11"/>
  <c r="F98" i="11"/>
  <c r="F37" i="11"/>
  <c r="F67" i="11"/>
  <c r="H132" i="10"/>
  <c r="L132" i="10" s="1"/>
  <c r="L51" i="10"/>
  <c r="H162" i="10"/>
  <c r="L162" i="10" s="1"/>
  <c r="H77" i="10"/>
  <c r="L77" i="10" s="1"/>
  <c r="H102" i="10"/>
  <c r="L102" i="10" s="1"/>
  <c r="F103" i="10"/>
  <c r="F163" i="10"/>
  <c r="F78" i="10"/>
  <c r="F29" i="10"/>
  <c r="F133" i="10"/>
  <c r="F53" i="10"/>
  <c r="H259" i="10"/>
  <c r="L259" i="10" s="1"/>
  <c r="H231" i="10"/>
  <c r="L231" i="10" s="1"/>
  <c r="H203" i="10"/>
  <c r="L203" i="10" s="1"/>
  <c r="H273" i="10"/>
  <c r="L273" i="10" s="1"/>
  <c r="H245" i="10"/>
  <c r="L245" i="10" s="1"/>
  <c r="H217" i="10"/>
  <c r="L217" i="10" s="1"/>
  <c r="H311" i="7"/>
  <c r="L311" i="7" s="1"/>
  <c r="H294" i="8"/>
  <c r="L294" i="8" s="1"/>
  <c r="H323" i="9"/>
  <c r="L323" i="9" s="1"/>
  <c r="H281" i="9"/>
  <c r="L281" i="9" s="1"/>
  <c r="H297" i="7"/>
  <c r="L297" i="7" s="1"/>
  <c r="H322" i="8"/>
  <c r="L322" i="8" s="1"/>
  <c r="H280" i="8"/>
  <c r="L280" i="8" s="1"/>
  <c r="H309" i="9"/>
  <c r="L309" i="9" s="1"/>
  <c r="H269" i="7"/>
  <c r="L269" i="7" s="1"/>
  <c r="H295" i="9"/>
  <c r="L295" i="9" s="1"/>
  <c r="H283" i="7"/>
  <c r="L283" i="7" s="1"/>
  <c r="H308" i="8"/>
  <c r="L308" i="8" s="1"/>
  <c r="H308" i="9"/>
  <c r="L308" i="9" s="1"/>
  <c r="H268" i="7"/>
  <c r="L268" i="7" s="1"/>
  <c r="H293" i="8"/>
  <c r="L293" i="8" s="1"/>
  <c r="H310" i="7"/>
  <c r="L310" i="7" s="1"/>
  <c r="H322" i="9"/>
  <c r="L322" i="9" s="1"/>
  <c r="H280" i="9"/>
  <c r="L280" i="9" s="1"/>
  <c r="H296" i="7"/>
  <c r="L296" i="7" s="1"/>
  <c r="H279" i="8"/>
  <c r="L279" i="8" s="1"/>
  <c r="H321" i="8"/>
  <c r="L321" i="8" s="1"/>
  <c r="H294" i="9"/>
  <c r="L294" i="9" s="1"/>
  <c r="H282" i="7"/>
  <c r="L282" i="7" s="1"/>
  <c r="H307" i="8"/>
  <c r="L307" i="8" s="1"/>
  <c r="H307" i="4"/>
  <c r="L307" i="4" s="1"/>
  <c r="H293" i="4"/>
  <c r="L293" i="4" s="1"/>
  <c r="H279" i="4"/>
  <c r="L279" i="4" s="1"/>
  <c r="H251" i="4"/>
  <c r="H321" i="4"/>
  <c r="L321" i="4" s="1"/>
  <c r="H265" i="4"/>
  <c r="H294" i="4"/>
  <c r="L294" i="4" s="1"/>
  <c r="H308" i="4"/>
  <c r="L308" i="4" s="1"/>
  <c r="H280" i="4"/>
  <c r="L280" i="4" s="1"/>
  <c r="H252" i="4"/>
  <c r="H322" i="4"/>
  <c r="L322" i="4" s="1"/>
  <c r="H266" i="4"/>
  <c r="H209" i="4"/>
  <c r="L209" i="4" s="1"/>
  <c r="H197" i="7"/>
  <c r="L197" i="7" s="1"/>
  <c r="H182" i="8"/>
  <c r="L182" i="8" s="1"/>
  <c r="H209" i="8"/>
  <c r="L209" i="8" s="1"/>
  <c r="H182" i="4"/>
  <c r="L182" i="4" s="1"/>
  <c r="H171" i="7"/>
  <c r="L171" i="7" s="1"/>
  <c r="H183" i="8"/>
  <c r="L183" i="8" s="1"/>
  <c r="H210" i="4"/>
  <c r="L210" i="4" s="1"/>
  <c r="H210" i="8"/>
  <c r="L210" i="8" s="1"/>
  <c r="H183" i="4"/>
  <c r="L183" i="4" s="1"/>
  <c r="H172" i="7"/>
  <c r="L172" i="7" s="1"/>
  <c r="H198" i="7"/>
  <c r="L198" i="7" s="1"/>
  <c r="G124" i="5"/>
  <c r="L161" i="9" l="1"/>
  <c r="J157" i="9"/>
  <c r="L157" i="9" s="1"/>
  <c r="L159" i="9"/>
  <c r="L160" i="9"/>
  <c r="L86" i="9"/>
  <c r="L85" i="9"/>
  <c r="J82" i="9"/>
  <c r="L82" i="9" s="1"/>
  <c r="L84" i="9"/>
  <c r="L186" i="9"/>
  <c r="L187" i="9"/>
  <c r="L188" i="9"/>
  <c r="L185" i="9"/>
  <c r="J184" i="9"/>
  <c r="L184" i="9" s="1"/>
  <c r="L134" i="9"/>
  <c r="J131" i="9"/>
  <c r="L131" i="9" s="1"/>
  <c r="L133" i="9"/>
  <c r="L135" i="9"/>
  <c r="L38" i="9"/>
  <c r="L37" i="9"/>
  <c r="L39" i="9"/>
  <c r="J35" i="9"/>
  <c r="L35" i="9" s="1"/>
  <c r="L214" i="9"/>
  <c r="L212" i="9"/>
  <c r="L215" i="9"/>
  <c r="J211" i="9"/>
  <c r="L211" i="9" s="1"/>
  <c r="L213" i="9"/>
  <c r="L61" i="9"/>
  <c r="J59" i="9"/>
  <c r="L59" i="9" s="1"/>
  <c r="L62" i="9"/>
  <c r="L63" i="9"/>
  <c r="L107" i="9"/>
  <c r="J105" i="9"/>
  <c r="L105" i="9" s="1"/>
  <c r="L108" i="9"/>
  <c r="L109" i="9"/>
  <c r="L102" i="11"/>
  <c r="L101" i="11"/>
  <c r="L100" i="11"/>
  <c r="J98" i="11"/>
  <c r="L98" i="11" s="1"/>
  <c r="L99" i="11"/>
  <c r="L130" i="11"/>
  <c r="J129" i="11"/>
  <c r="L129" i="11" s="1"/>
  <c r="L132" i="11"/>
  <c r="L131" i="11"/>
  <c r="L133" i="11"/>
  <c r="L71" i="11"/>
  <c r="J67" i="11"/>
  <c r="L67" i="11" s="1"/>
  <c r="L70" i="11"/>
  <c r="L69" i="11"/>
  <c r="L39" i="11"/>
  <c r="L40" i="11"/>
  <c r="J37" i="11"/>
  <c r="L37" i="11" s="1"/>
  <c r="L41" i="11"/>
  <c r="L32" i="10"/>
  <c r="L30" i="10"/>
  <c r="L31" i="10"/>
  <c r="L29" i="10"/>
  <c r="L81" i="10"/>
  <c r="L78" i="10"/>
  <c r="L80" i="10"/>
  <c r="L79" i="10"/>
  <c r="L56" i="10"/>
  <c r="L53" i="10"/>
  <c r="L54" i="10"/>
  <c r="L55" i="10"/>
  <c r="L166" i="10"/>
  <c r="L164" i="10"/>
  <c r="L165" i="10"/>
  <c r="L163" i="10"/>
  <c r="L136" i="10"/>
  <c r="L133" i="10"/>
  <c r="L134" i="10"/>
  <c r="L135" i="10"/>
  <c r="L106" i="10"/>
  <c r="L105" i="10"/>
  <c r="L103" i="10"/>
  <c r="L104" i="10"/>
  <c r="L342" i="9" l="1"/>
  <c r="H340" i="9"/>
  <c r="L340" i="9" s="1"/>
  <c r="I339" i="9"/>
  <c r="H339" i="9"/>
  <c r="H267" i="9"/>
  <c r="L267" i="9" s="1"/>
  <c r="H265" i="9"/>
  <c r="H264" i="9"/>
  <c r="H263" i="9"/>
  <c r="H262" i="9"/>
  <c r="H261" i="9"/>
  <c r="H260" i="9"/>
  <c r="L260" i="9" s="1"/>
  <c r="H259" i="9"/>
  <c r="L259" i="9" s="1"/>
  <c r="H258" i="9"/>
  <c r="H257" i="9"/>
  <c r="H256" i="9"/>
  <c r="H255" i="9"/>
  <c r="H253" i="9"/>
  <c r="L253" i="9" s="1"/>
  <c r="H251" i="9"/>
  <c r="H250" i="9"/>
  <c r="H249" i="9"/>
  <c r="H248" i="9"/>
  <c r="H247" i="9"/>
  <c r="H246" i="9"/>
  <c r="L246" i="9" s="1"/>
  <c r="H245" i="9"/>
  <c r="L245" i="9" s="1"/>
  <c r="H244" i="9"/>
  <c r="H243" i="9"/>
  <c r="H242" i="9"/>
  <c r="H241" i="9"/>
  <c r="H234" i="9"/>
  <c r="H233" i="9"/>
  <c r="H232" i="9"/>
  <c r="H227" i="9"/>
  <c r="H226" i="9"/>
  <c r="H225" i="9"/>
  <c r="L224" i="9"/>
  <c r="C8" i="9"/>
  <c r="F338" i="9" s="1"/>
  <c r="C7" i="9"/>
  <c r="C6" i="9"/>
  <c r="C342" i="9"/>
  <c r="K339" i="9" l="1"/>
  <c r="K338" i="9"/>
  <c r="J232" i="9"/>
  <c r="J233" i="9" s="1"/>
  <c r="L233" i="9" s="1"/>
  <c r="I234" i="9"/>
  <c r="J234" i="9"/>
  <c r="L339" i="9"/>
  <c r="F342" i="9"/>
  <c r="C240" i="9"/>
  <c r="F340" i="9"/>
  <c r="K340" i="9" s="1"/>
  <c r="F343" i="9"/>
  <c r="C338" i="9"/>
  <c r="C224" i="9"/>
  <c r="J225" i="9" s="1"/>
  <c r="C17" i="9"/>
  <c r="J19" i="9" s="1"/>
  <c r="K19" i="9" s="1"/>
  <c r="C12" i="9"/>
  <c r="H201" i="7"/>
  <c r="H200" i="7"/>
  <c r="H199" i="7"/>
  <c r="F199" i="7"/>
  <c r="J199" i="7" s="1"/>
  <c r="H175" i="7"/>
  <c r="H174" i="7"/>
  <c r="H173" i="7"/>
  <c r="F173" i="7"/>
  <c r="H149" i="7"/>
  <c r="H147" i="7"/>
  <c r="F147" i="7"/>
  <c r="H124" i="7"/>
  <c r="H122" i="7"/>
  <c r="F122" i="7"/>
  <c r="H99" i="7"/>
  <c r="H97" i="7"/>
  <c r="F97" i="7"/>
  <c r="H78" i="7"/>
  <c r="H76" i="7"/>
  <c r="F76" i="7"/>
  <c r="H57" i="7"/>
  <c r="H55" i="7"/>
  <c r="F55" i="7"/>
  <c r="H35" i="7"/>
  <c r="H33" i="7"/>
  <c r="F33" i="7"/>
  <c r="H213" i="4"/>
  <c r="H212" i="4"/>
  <c r="H211" i="4"/>
  <c r="F211" i="4"/>
  <c r="J211" i="4" s="1"/>
  <c r="H186" i="4"/>
  <c r="H185" i="4"/>
  <c r="H184" i="4"/>
  <c r="F184" i="4"/>
  <c r="H159" i="4"/>
  <c r="H157" i="4"/>
  <c r="F157" i="4"/>
  <c r="H133" i="4"/>
  <c r="H131" i="4"/>
  <c r="F131" i="4"/>
  <c r="H107" i="4"/>
  <c r="H105" i="4"/>
  <c r="F105" i="4"/>
  <c r="H84" i="4"/>
  <c r="F82" i="4"/>
  <c r="H61" i="4"/>
  <c r="H59" i="4"/>
  <c r="F59" i="4"/>
  <c r="H37" i="4"/>
  <c r="F35" i="4"/>
  <c r="H185" i="8"/>
  <c r="H105" i="8"/>
  <c r="H83" i="8"/>
  <c r="H75" i="8"/>
  <c r="H213" i="8"/>
  <c r="H211" i="8"/>
  <c r="F211" i="8"/>
  <c r="J211" i="8" s="1"/>
  <c r="H186" i="8"/>
  <c r="H184" i="8"/>
  <c r="F184" i="8"/>
  <c r="H159" i="8"/>
  <c r="H157" i="8"/>
  <c r="F157" i="8"/>
  <c r="H133" i="8"/>
  <c r="H131" i="8"/>
  <c r="F131" i="8"/>
  <c r="J131" i="8" s="1"/>
  <c r="H107" i="8"/>
  <c r="F105" i="8"/>
  <c r="J105" i="8" s="1"/>
  <c r="H85" i="8"/>
  <c r="F83" i="8"/>
  <c r="H63" i="8"/>
  <c r="H61" i="8"/>
  <c r="F61" i="8"/>
  <c r="H37" i="8"/>
  <c r="H27" i="8"/>
  <c r="H39" i="8"/>
  <c r="H57" i="8"/>
  <c r="D128" i="5"/>
  <c r="F94" i="9" l="1"/>
  <c r="K97" i="9" s="1"/>
  <c r="F71" i="9"/>
  <c r="F47" i="9"/>
  <c r="F23" i="9"/>
  <c r="F47" i="4"/>
  <c r="F23" i="4"/>
  <c r="F94" i="4"/>
  <c r="F71" i="4"/>
  <c r="M268" i="5"/>
  <c r="M271" i="5"/>
  <c r="M273" i="5"/>
  <c r="M276" i="5"/>
  <c r="M279" i="5"/>
  <c r="M281" i="5"/>
  <c r="M284" i="5"/>
  <c r="M266" i="5"/>
  <c r="M270" i="5"/>
  <c r="M278" i="5"/>
  <c r="M286" i="5"/>
  <c r="M267" i="5"/>
  <c r="M277" i="5"/>
  <c r="M280" i="5"/>
  <c r="M283" i="5"/>
  <c r="M272" i="5"/>
  <c r="M285" i="5"/>
  <c r="M274" i="5"/>
  <c r="M269" i="5"/>
  <c r="M275" i="5"/>
  <c r="M282" i="5"/>
  <c r="K232" i="9"/>
  <c r="K347" i="9"/>
  <c r="K344" i="9"/>
  <c r="K343" i="9"/>
  <c r="K345" i="9"/>
  <c r="K346" i="9"/>
  <c r="K349" i="9"/>
  <c r="K348" i="9"/>
  <c r="I323" i="4"/>
  <c r="K323" i="4" s="1"/>
  <c r="I312" i="7"/>
  <c r="I323" i="8"/>
  <c r="K323" i="8" s="1"/>
  <c r="I324" i="9"/>
  <c r="I274" i="10"/>
  <c r="I252" i="11"/>
  <c r="I225" i="11"/>
  <c r="K225" i="11" s="1"/>
  <c r="I155" i="11"/>
  <c r="K155" i="11" s="1"/>
  <c r="I239" i="11"/>
  <c r="I211" i="11"/>
  <c r="K211" i="11" s="1"/>
  <c r="I169" i="11"/>
  <c r="K169" i="11" s="1"/>
  <c r="I197" i="11"/>
  <c r="K197" i="11" s="1"/>
  <c r="I183" i="11"/>
  <c r="K183" i="11" s="1"/>
  <c r="I232" i="11"/>
  <c r="K232" i="11" s="1"/>
  <c r="I204" i="11"/>
  <c r="K204" i="11" s="1"/>
  <c r="I176" i="11"/>
  <c r="K176" i="11" s="1"/>
  <c r="I246" i="10"/>
  <c r="K246" i="10" s="1"/>
  <c r="I218" i="10"/>
  <c r="K218" i="10" s="1"/>
  <c r="I190" i="10"/>
  <c r="K190" i="10" s="1"/>
  <c r="I260" i="10"/>
  <c r="K260" i="10" s="1"/>
  <c r="I204" i="10"/>
  <c r="K204" i="10" s="1"/>
  <c r="I232" i="10"/>
  <c r="K232" i="10" s="1"/>
  <c r="I267" i="10"/>
  <c r="K267" i="10" s="1"/>
  <c r="I239" i="10"/>
  <c r="K239" i="10" s="1"/>
  <c r="I211" i="10"/>
  <c r="K211" i="10" s="1"/>
  <c r="I282" i="9"/>
  <c r="K282" i="9" s="1"/>
  <c r="I298" i="7"/>
  <c r="K298" i="7" s="1"/>
  <c r="I281" i="8"/>
  <c r="I256" i="7"/>
  <c r="K256" i="7" s="1"/>
  <c r="I296" i="9"/>
  <c r="K296" i="9" s="1"/>
  <c r="I268" i="9"/>
  <c r="K268" i="9" s="1"/>
  <c r="I284" i="7"/>
  <c r="K284" i="7" s="1"/>
  <c r="I309" i="8"/>
  <c r="I267" i="8"/>
  <c r="I310" i="9"/>
  <c r="K310" i="9" s="1"/>
  <c r="I270" i="7"/>
  <c r="K270" i="7" s="1"/>
  <c r="I295" i="8"/>
  <c r="I317" i="9"/>
  <c r="K317" i="9" s="1"/>
  <c r="I316" i="8"/>
  <c r="I277" i="7"/>
  <c r="K277" i="7" s="1"/>
  <c r="I289" i="9"/>
  <c r="K289" i="9" s="1"/>
  <c r="I288" i="8"/>
  <c r="I305" i="7"/>
  <c r="K305" i="7" s="1"/>
  <c r="I281" i="4"/>
  <c r="K281" i="4" s="1"/>
  <c r="I253" i="4"/>
  <c r="K253" i="4" s="1"/>
  <c r="I239" i="4"/>
  <c r="K239" i="4" s="1"/>
  <c r="I295" i="4"/>
  <c r="I267" i="4"/>
  <c r="K267" i="4" s="1"/>
  <c r="I309" i="4"/>
  <c r="I260" i="4"/>
  <c r="K260" i="4" s="1"/>
  <c r="I316" i="4"/>
  <c r="I288" i="4"/>
  <c r="J21" i="9"/>
  <c r="J20" i="9"/>
  <c r="I274" i="4"/>
  <c r="K274" i="4" s="1"/>
  <c r="I246" i="4"/>
  <c r="K246" i="4" s="1"/>
  <c r="I302" i="4"/>
  <c r="I239" i="8"/>
  <c r="K239" i="8" s="1"/>
  <c r="I240" i="9"/>
  <c r="K240" i="9" s="1"/>
  <c r="I228" i="7"/>
  <c r="K228" i="7" s="1"/>
  <c r="I253" i="8"/>
  <c r="K253" i="8" s="1"/>
  <c r="I254" i="9"/>
  <c r="K254" i="9" s="1"/>
  <c r="I242" i="7"/>
  <c r="K242" i="7" s="1"/>
  <c r="I249" i="7"/>
  <c r="K249" i="7" s="1"/>
  <c r="I260" i="8"/>
  <c r="K260" i="8" s="1"/>
  <c r="I261" i="9"/>
  <c r="K261" i="9" s="1"/>
  <c r="I247" i="9"/>
  <c r="I235" i="7"/>
  <c r="K235" i="7" s="1"/>
  <c r="I246" i="8"/>
  <c r="K246" i="8" s="1"/>
  <c r="L232" i="9"/>
  <c r="L234" i="9"/>
  <c r="L38" i="4"/>
  <c r="J35" i="4"/>
  <c r="L35" i="4" s="1"/>
  <c r="L86" i="4"/>
  <c r="J82" i="4"/>
  <c r="L82" i="4" s="1"/>
  <c r="L134" i="4"/>
  <c r="J131" i="4"/>
  <c r="L131" i="4" s="1"/>
  <c r="L188" i="4"/>
  <c r="J184" i="4"/>
  <c r="L184" i="4" s="1"/>
  <c r="L37" i="7"/>
  <c r="J33" i="7"/>
  <c r="L33" i="7" s="1"/>
  <c r="L80" i="7"/>
  <c r="J76" i="7"/>
  <c r="L76" i="7" s="1"/>
  <c r="L125" i="7"/>
  <c r="J122" i="7"/>
  <c r="L122" i="7" s="1"/>
  <c r="L177" i="7"/>
  <c r="J173" i="7"/>
  <c r="L173" i="7" s="1"/>
  <c r="L161" i="8"/>
  <c r="J157" i="8"/>
  <c r="L157" i="8" s="1"/>
  <c r="L65" i="8"/>
  <c r="J61" i="8"/>
  <c r="L61" i="8" s="1"/>
  <c r="L63" i="4"/>
  <c r="J59" i="4"/>
  <c r="L59" i="4" s="1"/>
  <c r="L108" i="4"/>
  <c r="J105" i="4"/>
  <c r="L105" i="4" s="1"/>
  <c r="L160" i="4"/>
  <c r="J157" i="4"/>
  <c r="L157" i="4" s="1"/>
  <c r="L215" i="4"/>
  <c r="L211" i="4"/>
  <c r="L58" i="7"/>
  <c r="J55" i="7"/>
  <c r="L55" i="7" s="1"/>
  <c r="L101" i="7"/>
  <c r="J97" i="7"/>
  <c r="L97" i="7" s="1"/>
  <c r="L151" i="7"/>
  <c r="J147" i="7"/>
  <c r="L147" i="7" s="1"/>
  <c r="L187" i="8"/>
  <c r="J184" i="8"/>
  <c r="L184" i="8" s="1"/>
  <c r="L87" i="8"/>
  <c r="J83" i="8"/>
  <c r="L83" i="8" s="1"/>
  <c r="L107" i="8"/>
  <c r="L133" i="8"/>
  <c r="L135" i="4"/>
  <c r="L59" i="7"/>
  <c r="L213" i="8"/>
  <c r="L201" i="7"/>
  <c r="L161" i="4"/>
  <c r="L105" i="8"/>
  <c r="L126" i="7"/>
  <c r="L214" i="8"/>
  <c r="L131" i="8"/>
  <c r="L134" i="8"/>
  <c r="L185" i="4"/>
  <c r="L109" i="4"/>
  <c r="L84" i="4"/>
  <c r="L211" i="8"/>
  <c r="L175" i="7"/>
  <c r="L160" i="8"/>
  <c r="H252" i="9"/>
  <c r="L252" i="9" s="1"/>
  <c r="H266" i="9"/>
  <c r="L266" i="9" s="1"/>
  <c r="L202" i="7"/>
  <c r="L203" i="7"/>
  <c r="L199" i="7"/>
  <c r="L200" i="7"/>
  <c r="L174" i="7"/>
  <c r="L176" i="7"/>
  <c r="L149" i="7"/>
  <c r="L150" i="7"/>
  <c r="L124" i="7"/>
  <c r="L99" i="7"/>
  <c r="L100" i="7"/>
  <c r="L78" i="7"/>
  <c r="L79" i="7"/>
  <c r="L57" i="7"/>
  <c r="L35" i="7"/>
  <c r="L36" i="7"/>
  <c r="L212" i="4"/>
  <c r="L213" i="4"/>
  <c r="L214" i="4"/>
  <c r="L186" i="4"/>
  <c r="L187" i="4"/>
  <c r="L159" i="4"/>
  <c r="L133" i="4"/>
  <c r="L107" i="4"/>
  <c r="L85" i="4"/>
  <c r="L61" i="4"/>
  <c r="L62" i="4"/>
  <c r="L39" i="4"/>
  <c r="L37" i="4"/>
  <c r="L215" i="8"/>
  <c r="L186" i="8"/>
  <c r="L188" i="8"/>
  <c r="L185" i="8"/>
  <c r="L159" i="8"/>
  <c r="L135" i="8"/>
  <c r="L108" i="8"/>
  <c r="L109" i="8"/>
  <c r="L86" i="8"/>
  <c r="L85" i="8"/>
  <c r="L64" i="8"/>
  <c r="L63" i="8"/>
  <c r="F37" i="8"/>
  <c r="J37" i="8" s="1"/>
  <c r="H94" i="4"/>
  <c r="I94" i="4"/>
  <c r="E110" i="5"/>
  <c r="G110" i="5"/>
  <c r="H104" i="8"/>
  <c r="L104" i="8" s="1"/>
  <c r="J103" i="8"/>
  <c r="H103" i="8"/>
  <c r="H102" i="8"/>
  <c r="H101" i="8"/>
  <c r="H100" i="8"/>
  <c r="H99" i="8"/>
  <c r="H98" i="8"/>
  <c r="L98" i="8" s="1"/>
  <c r="H97" i="8"/>
  <c r="I95" i="8"/>
  <c r="H95" i="8"/>
  <c r="H82" i="8"/>
  <c r="L82" i="8" s="1"/>
  <c r="J81" i="8"/>
  <c r="H81" i="8"/>
  <c r="H80" i="8"/>
  <c r="H79" i="8"/>
  <c r="H78" i="8"/>
  <c r="H77" i="8"/>
  <c r="H76" i="8"/>
  <c r="L76" i="8" s="1"/>
  <c r="I73" i="8"/>
  <c r="H73" i="8"/>
  <c r="I71" i="4"/>
  <c r="H104" i="4"/>
  <c r="L104" i="4" s="1"/>
  <c r="J103" i="4"/>
  <c r="H103" i="4"/>
  <c r="H102" i="4"/>
  <c r="H101" i="4"/>
  <c r="H100" i="4"/>
  <c r="H99" i="4"/>
  <c r="L97" i="4"/>
  <c r="H96" i="4"/>
  <c r="L81" i="4"/>
  <c r="J80" i="4"/>
  <c r="L74" i="4"/>
  <c r="H96" i="7"/>
  <c r="L96" i="7" s="1"/>
  <c r="J95" i="7"/>
  <c r="H95" i="7"/>
  <c r="J94" i="7"/>
  <c r="H94" i="7"/>
  <c r="J93" i="7"/>
  <c r="H93" i="7"/>
  <c r="J92" i="7"/>
  <c r="H92" i="7"/>
  <c r="J91" i="7"/>
  <c r="H91" i="7"/>
  <c r="H90" i="7"/>
  <c r="L90" i="7" s="1"/>
  <c r="H89" i="7"/>
  <c r="L89" i="7" s="1"/>
  <c r="H75" i="7"/>
  <c r="L75" i="7" s="1"/>
  <c r="J74" i="7"/>
  <c r="H74" i="7"/>
  <c r="H73" i="7"/>
  <c r="J72" i="7"/>
  <c r="H72" i="7"/>
  <c r="J71" i="7"/>
  <c r="H71" i="7"/>
  <c r="H70" i="7"/>
  <c r="H69" i="7"/>
  <c r="L69" i="7" s="1"/>
  <c r="H68" i="7"/>
  <c r="L68" i="7" s="1"/>
  <c r="J67" i="7"/>
  <c r="J73" i="7" s="1"/>
  <c r="E128" i="5"/>
  <c r="G128" i="5"/>
  <c r="C4" i="8"/>
  <c r="C267" i="4"/>
  <c r="C323" i="4" s="1"/>
  <c r="C4" i="7"/>
  <c r="C5" i="7" s="1"/>
  <c r="G86" i="5"/>
  <c r="G84" i="5"/>
  <c r="G83" i="5"/>
  <c r="E86" i="5"/>
  <c r="E84" i="5"/>
  <c r="E83" i="5"/>
  <c r="H52" i="8"/>
  <c r="L52" i="8" s="1"/>
  <c r="H28" i="8"/>
  <c r="L50" i="4"/>
  <c r="H60" i="8"/>
  <c r="H59" i="8"/>
  <c r="L59" i="8" s="1"/>
  <c r="H58" i="8"/>
  <c r="H56" i="8"/>
  <c r="H55" i="8"/>
  <c r="H54" i="8"/>
  <c r="H53" i="8"/>
  <c r="H51" i="8"/>
  <c r="H49" i="8"/>
  <c r="J60" i="8"/>
  <c r="J58" i="8"/>
  <c r="I49" i="8"/>
  <c r="L57" i="4"/>
  <c r="J58" i="4"/>
  <c r="J56" i="4"/>
  <c r="I47" i="4"/>
  <c r="K23" i="9" l="1"/>
  <c r="K25" i="9"/>
  <c r="K24" i="9"/>
  <c r="D23" i="7"/>
  <c r="D159" i="7"/>
  <c r="D109" i="7"/>
  <c r="K40" i="9"/>
  <c r="K64" i="9"/>
  <c r="K49" i="9"/>
  <c r="K47" i="9"/>
  <c r="K48" i="9"/>
  <c r="K87" i="9"/>
  <c r="K74" i="9"/>
  <c r="K73" i="9"/>
  <c r="K72" i="9"/>
  <c r="K71" i="9"/>
  <c r="K110" i="9"/>
  <c r="K96" i="9"/>
  <c r="K94" i="9"/>
  <c r="K95" i="9"/>
  <c r="M299" i="5"/>
  <c r="M301" i="5"/>
  <c r="M304" i="5"/>
  <c r="M307" i="5"/>
  <c r="M309" i="5"/>
  <c r="M312" i="5"/>
  <c r="M315" i="5"/>
  <c r="M317" i="5"/>
  <c r="M306" i="5"/>
  <c r="M314" i="5"/>
  <c r="M300" i="5"/>
  <c r="M303" i="5"/>
  <c r="M305" i="5"/>
  <c r="M308" i="5"/>
  <c r="M311" i="5"/>
  <c r="M313" i="5"/>
  <c r="M316" i="5"/>
  <c r="M298" i="5"/>
  <c r="M302" i="5"/>
  <c r="M310" i="5"/>
  <c r="M318" i="5"/>
  <c r="C5" i="8"/>
  <c r="C12" i="8"/>
  <c r="L302" i="4"/>
  <c r="K302" i="4"/>
  <c r="L288" i="4"/>
  <c r="K288" i="4"/>
  <c r="L316" i="4"/>
  <c r="K316" i="4"/>
  <c r="K295" i="4"/>
  <c r="K309" i="4"/>
  <c r="L21" i="9"/>
  <c r="K21" i="9"/>
  <c r="J333" i="4"/>
  <c r="L333" i="4" s="1"/>
  <c r="J333" i="8"/>
  <c r="L333" i="8" s="1"/>
  <c r="J322" i="7"/>
  <c r="L322" i="7" s="1"/>
  <c r="K312" i="7"/>
  <c r="L247" i="9"/>
  <c r="K247" i="9"/>
  <c r="K252" i="11"/>
  <c r="J284" i="10"/>
  <c r="L284" i="10" s="1"/>
  <c r="K274" i="10"/>
  <c r="L20" i="9"/>
  <c r="K20" i="9"/>
  <c r="J334" i="9"/>
  <c r="L334" i="9" s="1"/>
  <c r="K324" i="9"/>
  <c r="C256" i="7"/>
  <c r="C312" i="7" s="1"/>
  <c r="C12" i="7"/>
  <c r="J193" i="11"/>
  <c r="L193" i="11" s="1"/>
  <c r="J249" i="11"/>
  <c r="L249" i="11" s="1"/>
  <c r="I171" i="11"/>
  <c r="I172" i="11"/>
  <c r="I170" i="11"/>
  <c r="I173" i="11"/>
  <c r="J177" i="11"/>
  <c r="L177" i="11" s="1"/>
  <c r="J178" i="11"/>
  <c r="L178" i="11" s="1"/>
  <c r="L176" i="11"/>
  <c r="J180" i="11"/>
  <c r="L180" i="11" s="1"/>
  <c r="J207" i="11"/>
  <c r="L207" i="11" s="1"/>
  <c r="J165" i="11"/>
  <c r="L165" i="11" s="1"/>
  <c r="L204" i="11"/>
  <c r="I199" i="11"/>
  <c r="J206" i="11"/>
  <c r="L206" i="11" s="1"/>
  <c r="I201" i="11"/>
  <c r="I198" i="11"/>
  <c r="J205" i="11"/>
  <c r="L205" i="11" s="1"/>
  <c r="J208" i="11"/>
  <c r="L208" i="11" s="1"/>
  <c r="I200" i="11"/>
  <c r="J179" i="11"/>
  <c r="L179" i="11" s="1"/>
  <c r="J235" i="11"/>
  <c r="L235" i="11" s="1"/>
  <c r="I229" i="11"/>
  <c r="J236" i="11"/>
  <c r="L236" i="11" s="1"/>
  <c r="J234" i="11"/>
  <c r="L234" i="11" s="1"/>
  <c r="I226" i="11"/>
  <c r="L232" i="11"/>
  <c r="J233" i="11"/>
  <c r="L233" i="11" s="1"/>
  <c r="I228" i="11"/>
  <c r="I227" i="11"/>
  <c r="J221" i="11"/>
  <c r="L221" i="11" s="1"/>
  <c r="J262" i="11"/>
  <c r="L262" i="11" s="1"/>
  <c r="J200" i="10"/>
  <c r="L200" i="10" s="1"/>
  <c r="J242" i="10"/>
  <c r="L242" i="10" s="1"/>
  <c r="J228" i="10"/>
  <c r="L228" i="10" s="1"/>
  <c r="I205" i="10"/>
  <c r="I207" i="10"/>
  <c r="J215" i="10"/>
  <c r="L215" i="10" s="1"/>
  <c r="L211" i="10"/>
  <c r="J212" i="10"/>
  <c r="L212" i="10" s="1"/>
  <c r="I208" i="10"/>
  <c r="J213" i="10"/>
  <c r="L213" i="10" s="1"/>
  <c r="I206" i="10"/>
  <c r="J214" i="10"/>
  <c r="L214" i="10" s="1"/>
  <c r="J256" i="10"/>
  <c r="L256" i="10" s="1"/>
  <c r="L267" i="10"/>
  <c r="I264" i="10"/>
  <c r="I262" i="10"/>
  <c r="J269" i="10"/>
  <c r="L269" i="10" s="1"/>
  <c r="I263" i="10"/>
  <c r="J268" i="10"/>
  <c r="L268" i="10" s="1"/>
  <c r="I261" i="10"/>
  <c r="J271" i="10"/>
  <c r="L271" i="10" s="1"/>
  <c r="J243" i="10"/>
  <c r="L243" i="10" s="1"/>
  <c r="I236" i="10"/>
  <c r="I233" i="10"/>
  <c r="J241" i="10"/>
  <c r="L241" i="10" s="1"/>
  <c r="I235" i="10"/>
  <c r="L239" i="10"/>
  <c r="J240" i="10"/>
  <c r="L240" i="10" s="1"/>
  <c r="I234" i="10"/>
  <c r="J270" i="10"/>
  <c r="L270" i="10" s="1"/>
  <c r="I241" i="9"/>
  <c r="J281" i="7"/>
  <c r="L281" i="7" s="1"/>
  <c r="J279" i="7"/>
  <c r="L279" i="7" s="1"/>
  <c r="I274" i="7"/>
  <c r="J278" i="7"/>
  <c r="L278" i="7" s="1"/>
  <c r="I271" i="7"/>
  <c r="I273" i="7"/>
  <c r="L277" i="7"/>
  <c r="I272" i="7"/>
  <c r="J319" i="9"/>
  <c r="L319" i="9" s="1"/>
  <c r="J321" i="9"/>
  <c r="L321" i="9" s="1"/>
  <c r="I312" i="9"/>
  <c r="L317" i="9"/>
  <c r="I314" i="9"/>
  <c r="I311" i="9"/>
  <c r="I313" i="9"/>
  <c r="J318" i="9"/>
  <c r="L318" i="9" s="1"/>
  <c r="J291" i="8"/>
  <c r="L291" i="8" s="1"/>
  <c r="J308" i="7"/>
  <c r="L308" i="7" s="1"/>
  <c r="L289" i="9"/>
  <c r="I285" i="9"/>
  <c r="J293" i="9"/>
  <c r="L293" i="9" s="1"/>
  <c r="I284" i="9"/>
  <c r="J291" i="9"/>
  <c r="L291" i="9" s="1"/>
  <c r="I286" i="9"/>
  <c r="I283" i="9"/>
  <c r="J290" i="9"/>
  <c r="L290" i="9" s="1"/>
  <c r="J292" i="9"/>
  <c r="L292" i="9" s="1"/>
  <c r="J294" i="7"/>
  <c r="L294" i="7" s="1"/>
  <c r="J305" i="8"/>
  <c r="L305" i="8" s="1"/>
  <c r="J278" i="9"/>
  <c r="L278" i="9" s="1"/>
  <c r="J318" i="8"/>
  <c r="L318" i="8" s="1"/>
  <c r="I312" i="8"/>
  <c r="L312" i="8" s="1"/>
  <c r="J320" i="8"/>
  <c r="L320" i="8" s="1"/>
  <c r="I313" i="8"/>
  <c r="L313" i="8" s="1"/>
  <c r="L316" i="8"/>
  <c r="I311" i="8"/>
  <c r="L311" i="8" s="1"/>
  <c r="J317" i="8"/>
  <c r="L317" i="8" s="1"/>
  <c r="I310" i="8"/>
  <c r="L310" i="8" s="1"/>
  <c r="J280" i="7"/>
  <c r="L280" i="7" s="1"/>
  <c r="J306" i="9"/>
  <c r="L306" i="9" s="1"/>
  <c r="L305" i="7"/>
  <c r="I300" i="7"/>
  <c r="J307" i="7"/>
  <c r="L307" i="7" s="1"/>
  <c r="I302" i="7"/>
  <c r="I299" i="7"/>
  <c r="I301" i="7"/>
  <c r="J309" i="7"/>
  <c r="L309" i="7" s="1"/>
  <c r="J306" i="7"/>
  <c r="L306" i="7" s="1"/>
  <c r="J277" i="8"/>
  <c r="L277" i="8" s="1"/>
  <c r="J290" i="8"/>
  <c r="L290" i="8" s="1"/>
  <c r="I284" i="8"/>
  <c r="L284" i="8" s="1"/>
  <c r="J292" i="8"/>
  <c r="L292" i="8" s="1"/>
  <c r="I283" i="8"/>
  <c r="L283" i="8" s="1"/>
  <c r="I285" i="8"/>
  <c r="L285" i="8" s="1"/>
  <c r="L288" i="8"/>
  <c r="J289" i="8"/>
  <c r="L289" i="8" s="1"/>
  <c r="I282" i="8"/>
  <c r="L282" i="8" s="1"/>
  <c r="J320" i="9"/>
  <c r="L320" i="9" s="1"/>
  <c r="J319" i="8"/>
  <c r="L319" i="8" s="1"/>
  <c r="J266" i="7"/>
  <c r="L266" i="7" s="1"/>
  <c r="C267" i="8"/>
  <c r="C323" i="8" s="1"/>
  <c r="C337" i="8"/>
  <c r="C341" i="8"/>
  <c r="J304" i="4"/>
  <c r="L304" i="4" s="1"/>
  <c r="I297" i="4"/>
  <c r="J306" i="4"/>
  <c r="L306" i="4" s="1"/>
  <c r="I296" i="4"/>
  <c r="I299" i="4"/>
  <c r="I298" i="4"/>
  <c r="J303" i="4"/>
  <c r="L303" i="4" s="1"/>
  <c r="L103" i="4"/>
  <c r="J319" i="4"/>
  <c r="L319" i="4" s="1"/>
  <c r="J277" i="4"/>
  <c r="L277" i="4" s="1"/>
  <c r="J305" i="4"/>
  <c r="L305" i="4" s="1"/>
  <c r="J252" i="7"/>
  <c r="I283" i="4"/>
  <c r="J289" i="4"/>
  <c r="L289" i="4" s="1"/>
  <c r="J292" i="4"/>
  <c r="L292" i="4" s="1"/>
  <c r="I282" i="4"/>
  <c r="I284" i="4"/>
  <c r="I285" i="4"/>
  <c r="J290" i="4"/>
  <c r="L290" i="4" s="1"/>
  <c r="J291" i="4"/>
  <c r="L291" i="4" s="1"/>
  <c r="I269" i="4"/>
  <c r="J276" i="4"/>
  <c r="L276" i="4" s="1"/>
  <c r="I268" i="4"/>
  <c r="L274" i="4"/>
  <c r="I270" i="4"/>
  <c r="I271" i="4"/>
  <c r="J275" i="4"/>
  <c r="L275" i="4" s="1"/>
  <c r="J278" i="4"/>
  <c r="L278" i="4" s="1"/>
  <c r="I312" i="4"/>
  <c r="J320" i="4"/>
  <c r="L320" i="4" s="1"/>
  <c r="J318" i="4"/>
  <c r="L318" i="4" s="1"/>
  <c r="I310" i="4"/>
  <c r="I313" i="4"/>
  <c r="I311" i="4"/>
  <c r="J317" i="4"/>
  <c r="L317" i="4" s="1"/>
  <c r="I243" i="9"/>
  <c r="I244" i="9"/>
  <c r="I242" i="9"/>
  <c r="J238" i="7"/>
  <c r="J263" i="8"/>
  <c r="J265" i="9"/>
  <c r="L265" i="9" s="1"/>
  <c r="J262" i="9"/>
  <c r="L262" i="9" s="1"/>
  <c r="J263" i="9"/>
  <c r="L263" i="9" s="1"/>
  <c r="J261" i="4"/>
  <c r="J262" i="4"/>
  <c r="J264" i="4"/>
  <c r="J248" i="8"/>
  <c r="J247" i="8"/>
  <c r="J250" i="8"/>
  <c r="L261" i="9"/>
  <c r="J236" i="7"/>
  <c r="J237" i="7"/>
  <c r="J239" i="7"/>
  <c r="J264" i="9"/>
  <c r="L264" i="9" s="1"/>
  <c r="J250" i="9"/>
  <c r="L250" i="9" s="1"/>
  <c r="I258" i="9"/>
  <c r="J249" i="9"/>
  <c r="L249" i="9" s="1"/>
  <c r="J248" i="9"/>
  <c r="L248" i="9" s="1"/>
  <c r="J251" i="9"/>
  <c r="L251" i="9" s="1"/>
  <c r="J263" i="4"/>
  <c r="J249" i="4"/>
  <c r="I256" i="9"/>
  <c r="J247" i="4"/>
  <c r="J248" i="4"/>
  <c r="J250" i="4"/>
  <c r="I255" i="9"/>
  <c r="J264" i="8"/>
  <c r="J261" i="8"/>
  <c r="J262" i="8"/>
  <c r="I257" i="9"/>
  <c r="J250" i="7"/>
  <c r="J251" i="7"/>
  <c r="J253" i="7"/>
  <c r="J249" i="8"/>
  <c r="L92" i="7"/>
  <c r="L80" i="4"/>
  <c r="L81" i="8"/>
  <c r="L71" i="7"/>
  <c r="L41" i="8"/>
  <c r="L37" i="8"/>
  <c r="L39" i="8"/>
  <c r="L74" i="7"/>
  <c r="L91" i="7"/>
  <c r="F88" i="7"/>
  <c r="K110" i="4"/>
  <c r="L40" i="8"/>
  <c r="F45" i="7"/>
  <c r="K64" i="4"/>
  <c r="F67" i="7"/>
  <c r="K87" i="4"/>
  <c r="F73" i="8"/>
  <c r="F23" i="7"/>
  <c r="F25" i="8"/>
  <c r="F49" i="8"/>
  <c r="K66" i="8" s="1"/>
  <c r="F95" i="8"/>
  <c r="L58" i="8"/>
  <c r="L103" i="8"/>
  <c r="L56" i="4"/>
  <c r="L58" i="4"/>
  <c r="J70" i="7"/>
  <c r="L70" i="7" s="1"/>
  <c r="L72" i="7"/>
  <c r="L93" i="7"/>
  <c r="L95" i="7"/>
  <c r="L94" i="7"/>
  <c r="L73" i="7"/>
  <c r="L60" i="8"/>
  <c r="L20" i="8"/>
  <c r="L19" i="8"/>
  <c r="H266" i="8"/>
  <c r="L266" i="8" s="1"/>
  <c r="H265" i="8"/>
  <c r="L265" i="8" s="1"/>
  <c r="H264" i="8"/>
  <c r="H263" i="8"/>
  <c r="H262" i="8"/>
  <c r="H261" i="8"/>
  <c r="I256" i="8"/>
  <c r="K256" i="8" s="1"/>
  <c r="H260" i="8"/>
  <c r="H259" i="8"/>
  <c r="L259" i="8" s="1"/>
  <c r="H258" i="8"/>
  <c r="L258" i="8" s="1"/>
  <c r="H257" i="8"/>
  <c r="H256" i="8"/>
  <c r="H255" i="8"/>
  <c r="H254" i="8"/>
  <c r="H252" i="8"/>
  <c r="L252" i="8" s="1"/>
  <c r="H251" i="8"/>
  <c r="L251" i="8" s="1"/>
  <c r="H250" i="8"/>
  <c r="H249" i="8"/>
  <c r="H248" i="8"/>
  <c r="H247" i="8"/>
  <c r="I242" i="8"/>
  <c r="K242" i="8" s="1"/>
  <c r="H246" i="8"/>
  <c r="H245" i="8"/>
  <c r="L245" i="8" s="1"/>
  <c r="H244" i="8"/>
  <c r="L244" i="8" s="1"/>
  <c r="H243" i="8"/>
  <c r="H242" i="8"/>
  <c r="H241" i="8"/>
  <c r="H240" i="8"/>
  <c r="C239" i="8"/>
  <c r="H233" i="8"/>
  <c r="H232" i="8"/>
  <c r="H231" i="8"/>
  <c r="H226" i="8"/>
  <c r="H225" i="8"/>
  <c r="H224" i="8"/>
  <c r="C224" i="8"/>
  <c r="L201" i="8"/>
  <c r="L174" i="8"/>
  <c r="F169" i="8"/>
  <c r="F196" i="8" s="1"/>
  <c r="L154" i="8"/>
  <c r="L156" i="8"/>
  <c r="L147" i="8"/>
  <c r="L146" i="8"/>
  <c r="L145" i="8"/>
  <c r="L144" i="8"/>
  <c r="L143" i="8"/>
  <c r="L128" i="8"/>
  <c r="L130" i="8"/>
  <c r="L121" i="8"/>
  <c r="L120" i="8"/>
  <c r="L119" i="8"/>
  <c r="L118" i="8"/>
  <c r="F117" i="8"/>
  <c r="F143" i="8" s="1"/>
  <c r="K162" i="8" s="1"/>
  <c r="J36" i="8"/>
  <c r="H36" i="8"/>
  <c r="H35" i="8"/>
  <c r="L35" i="8" s="1"/>
  <c r="J34" i="8"/>
  <c r="H34" i="8"/>
  <c r="H33" i="8"/>
  <c r="H32" i="8"/>
  <c r="H31" i="8"/>
  <c r="H30" i="8"/>
  <c r="H29" i="8"/>
  <c r="L28" i="8"/>
  <c r="I25" i="8"/>
  <c r="H25" i="8"/>
  <c r="C25" i="8"/>
  <c r="I23" i="8"/>
  <c r="H23" i="8"/>
  <c r="I22" i="8"/>
  <c r="H22" i="8"/>
  <c r="J18" i="8"/>
  <c r="K18" i="8" s="1"/>
  <c r="H18" i="8"/>
  <c r="C17" i="8"/>
  <c r="J21" i="8" s="1"/>
  <c r="K21" i="8" s="1"/>
  <c r="C10" i="8"/>
  <c r="C11" i="8" s="1"/>
  <c r="L330" i="7"/>
  <c r="H328" i="7"/>
  <c r="L328" i="7" s="1"/>
  <c r="I327" i="7"/>
  <c r="H327" i="7"/>
  <c r="H255" i="7"/>
  <c r="L255" i="7" s="1"/>
  <c r="H254" i="7"/>
  <c r="L254" i="7" s="1"/>
  <c r="H253" i="7"/>
  <c r="H252" i="7"/>
  <c r="H251" i="7"/>
  <c r="H250" i="7"/>
  <c r="H249" i="7"/>
  <c r="H248" i="7"/>
  <c r="L248" i="7" s="1"/>
  <c r="H247" i="7"/>
  <c r="L247" i="7" s="1"/>
  <c r="H246" i="7"/>
  <c r="H245" i="7"/>
  <c r="H244" i="7"/>
  <c r="H243" i="7"/>
  <c r="H241" i="7"/>
  <c r="L241" i="7" s="1"/>
  <c r="H240" i="7"/>
  <c r="L240" i="7" s="1"/>
  <c r="H239" i="7"/>
  <c r="H238" i="7"/>
  <c r="H237" i="7"/>
  <c r="H236" i="7"/>
  <c r="I231" i="7"/>
  <c r="K231" i="7" s="1"/>
  <c r="H235" i="7"/>
  <c r="H234" i="7"/>
  <c r="L234" i="7" s="1"/>
  <c r="H233" i="7"/>
  <c r="L233" i="7" s="1"/>
  <c r="H232" i="7"/>
  <c r="H231" i="7"/>
  <c r="H230" i="7"/>
  <c r="H229" i="7"/>
  <c r="H222" i="7"/>
  <c r="H221" i="7"/>
  <c r="H220" i="7"/>
  <c r="H215" i="7"/>
  <c r="H214" i="7"/>
  <c r="H213" i="7"/>
  <c r="L212" i="7"/>
  <c r="F159" i="7"/>
  <c r="F185" i="7" s="1"/>
  <c r="L144" i="7"/>
  <c r="L138" i="7"/>
  <c r="L137" i="7"/>
  <c r="L136" i="7"/>
  <c r="L135" i="7"/>
  <c r="L134" i="7"/>
  <c r="L119" i="7"/>
  <c r="L113" i="7"/>
  <c r="L112" i="7"/>
  <c r="L111" i="7"/>
  <c r="L110" i="7"/>
  <c r="F109" i="7"/>
  <c r="F134" i="7" s="1"/>
  <c r="J54" i="7"/>
  <c r="H54" i="7"/>
  <c r="H53" i="7"/>
  <c r="L53" i="7" s="1"/>
  <c r="J52" i="7"/>
  <c r="H52" i="7"/>
  <c r="J51" i="7"/>
  <c r="H51" i="7"/>
  <c r="H50" i="7"/>
  <c r="H49" i="7"/>
  <c r="J48" i="7"/>
  <c r="H48" i="7"/>
  <c r="J50" i="7"/>
  <c r="H47" i="7"/>
  <c r="L47" i="7" s="1"/>
  <c r="H46" i="7"/>
  <c r="L46" i="7" s="1"/>
  <c r="J32" i="7"/>
  <c r="H32" i="7"/>
  <c r="H31" i="7"/>
  <c r="L31" i="7" s="1"/>
  <c r="H30" i="7"/>
  <c r="H29" i="7"/>
  <c r="J28" i="7"/>
  <c r="H28" i="7"/>
  <c r="H27" i="7"/>
  <c r="H26" i="7"/>
  <c r="J30" i="7"/>
  <c r="H25" i="7"/>
  <c r="L25" i="7" s="1"/>
  <c r="H24" i="7"/>
  <c r="L24" i="7" s="1"/>
  <c r="J23" i="7"/>
  <c r="J29" i="7" s="1"/>
  <c r="C23" i="7"/>
  <c r="C17" i="7"/>
  <c r="C8" i="7"/>
  <c r="F330" i="7" s="1"/>
  <c r="C7" i="7"/>
  <c r="C6" i="7"/>
  <c r="C330" i="7"/>
  <c r="J97" i="8" l="1"/>
  <c r="J75" i="8"/>
  <c r="J51" i="8"/>
  <c r="J27" i="8"/>
  <c r="J31" i="8" s="1"/>
  <c r="L31" i="8" s="1"/>
  <c r="K47" i="7"/>
  <c r="K23" i="7"/>
  <c r="D341" i="8"/>
  <c r="D351" i="8" s="1"/>
  <c r="D25" i="8"/>
  <c r="K110" i="8" s="1"/>
  <c r="J19" i="7"/>
  <c r="K19" i="7" s="1"/>
  <c r="M156" i="5"/>
  <c r="M144" i="5"/>
  <c r="M153" i="5"/>
  <c r="M151" i="5"/>
  <c r="M147" i="5"/>
  <c r="M143" i="5"/>
  <c r="M155" i="5"/>
  <c r="M140" i="5"/>
  <c r="M141" i="5"/>
  <c r="M154" i="5"/>
  <c r="M157" i="5"/>
  <c r="M150" i="5"/>
  <c r="M149" i="5"/>
  <c r="M139" i="5"/>
  <c r="M148" i="5"/>
  <c r="M142" i="5"/>
  <c r="M152" i="5"/>
  <c r="M145" i="5"/>
  <c r="M138" i="5"/>
  <c r="M146" i="5"/>
  <c r="M158" i="5"/>
  <c r="M172" i="5"/>
  <c r="M175" i="5"/>
  <c r="M178" i="5"/>
  <c r="M180" i="5"/>
  <c r="M183" i="5"/>
  <c r="M186" i="5"/>
  <c r="M189" i="5"/>
  <c r="M177" i="5"/>
  <c r="M185" i="5"/>
  <c r="M188" i="5"/>
  <c r="M170" i="5"/>
  <c r="M171" i="5"/>
  <c r="M174" i="5"/>
  <c r="M176" i="5"/>
  <c r="M179" i="5"/>
  <c r="M182" i="5"/>
  <c r="M184" i="5"/>
  <c r="M187" i="5"/>
  <c r="M190" i="5"/>
  <c r="M173" i="5"/>
  <c r="M181" i="5"/>
  <c r="L268" i="4"/>
  <c r="K268" i="4"/>
  <c r="L284" i="4"/>
  <c r="K284" i="4"/>
  <c r="L283" i="4"/>
  <c r="K283" i="4"/>
  <c r="L298" i="4"/>
  <c r="K298" i="4"/>
  <c r="L297" i="4"/>
  <c r="K297" i="4"/>
  <c r="L311" i="4"/>
  <c r="K311" i="4"/>
  <c r="L271" i="4"/>
  <c r="K271" i="4"/>
  <c r="L282" i="4"/>
  <c r="K282" i="4"/>
  <c r="L299" i="4"/>
  <c r="K299" i="4"/>
  <c r="L313" i="4"/>
  <c r="K313" i="4"/>
  <c r="L312" i="4"/>
  <c r="K312" i="4"/>
  <c r="L270" i="4"/>
  <c r="K270" i="4"/>
  <c r="L269" i="4"/>
  <c r="K269" i="4"/>
  <c r="L296" i="4"/>
  <c r="K296" i="4"/>
  <c r="L310" i="4"/>
  <c r="K310" i="4"/>
  <c r="L285" i="4"/>
  <c r="K285" i="4"/>
  <c r="L226" i="11"/>
  <c r="K226" i="11"/>
  <c r="L200" i="11"/>
  <c r="K200" i="11"/>
  <c r="L173" i="11"/>
  <c r="K173" i="11"/>
  <c r="L243" i="9"/>
  <c r="K243" i="9"/>
  <c r="L301" i="7"/>
  <c r="K301" i="7"/>
  <c r="L300" i="7"/>
  <c r="K300" i="7"/>
  <c r="L286" i="9"/>
  <c r="K286" i="9"/>
  <c r="L285" i="9"/>
  <c r="K285" i="9"/>
  <c r="L272" i="7"/>
  <c r="K272" i="7"/>
  <c r="L234" i="10"/>
  <c r="K234" i="10"/>
  <c r="L208" i="10"/>
  <c r="K208" i="10"/>
  <c r="L207" i="10"/>
  <c r="K207" i="10"/>
  <c r="L228" i="11"/>
  <c r="K228" i="11"/>
  <c r="L170" i="11"/>
  <c r="K170" i="11"/>
  <c r="K69" i="7"/>
  <c r="K38" i="7"/>
  <c r="K88" i="7"/>
  <c r="K45" i="7"/>
  <c r="K60" i="7"/>
  <c r="K25" i="7"/>
  <c r="K81" i="7"/>
  <c r="K24" i="7"/>
  <c r="K102" i="7"/>
  <c r="K68" i="7"/>
  <c r="K89" i="7"/>
  <c r="K46" i="7"/>
  <c r="K90" i="7"/>
  <c r="K67" i="7"/>
  <c r="L244" i="9"/>
  <c r="K244" i="9"/>
  <c r="L283" i="9"/>
  <c r="K283" i="9"/>
  <c r="L235" i="10"/>
  <c r="K235" i="10"/>
  <c r="L263" i="10"/>
  <c r="K263" i="10"/>
  <c r="L257" i="9"/>
  <c r="K257" i="9"/>
  <c r="L299" i="7"/>
  <c r="K299" i="7"/>
  <c r="L313" i="9"/>
  <c r="K313" i="9"/>
  <c r="L312" i="9"/>
  <c r="K312" i="9"/>
  <c r="L274" i="7"/>
  <c r="K274" i="7"/>
  <c r="L241" i="9"/>
  <c r="K241" i="9"/>
  <c r="L233" i="10"/>
  <c r="K233" i="10"/>
  <c r="L261" i="10"/>
  <c r="K261" i="10"/>
  <c r="L262" i="10"/>
  <c r="K262" i="10"/>
  <c r="L205" i="10"/>
  <c r="K205" i="10"/>
  <c r="L199" i="11"/>
  <c r="K199" i="11"/>
  <c r="L172" i="11"/>
  <c r="K172" i="11"/>
  <c r="L258" i="9"/>
  <c r="K258" i="9"/>
  <c r="L314" i="9"/>
  <c r="K314" i="9"/>
  <c r="L271" i="7"/>
  <c r="K271" i="7"/>
  <c r="L227" i="11"/>
  <c r="K227" i="11"/>
  <c r="L201" i="11"/>
  <c r="K201" i="11"/>
  <c r="L255" i="9"/>
  <c r="K255" i="9"/>
  <c r="L256" i="9"/>
  <c r="K256" i="9"/>
  <c r="L242" i="9"/>
  <c r="K242" i="9"/>
  <c r="L302" i="7"/>
  <c r="K302" i="7"/>
  <c r="L284" i="9"/>
  <c r="K284" i="9"/>
  <c r="L311" i="9"/>
  <c r="K311" i="9"/>
  <c r="L273" i="7"/>
  <c r="K273" i="7"/>
  <c r="L236" i="10"/>
  <c r="K236" i="10"/>
  <c r="L264" i="10"/>
  <c r="K264" i="10"/>
  <c r="L206" i="10"/>
  <c r="K206" i="10"/>
  <c r="L229" i="11"/>
  <c r="K229" i="11"/>
  <c r="L198" i="11"/>
  <c r="K198" i="11"/>
  <c r="L171" i="11"/>
  <c r="K171" i="11"/>
  <c r="F220" i="7"/>
  <c r="F213" i="7" s="1"/>
  <c r="F339" i="8"/>
  <c r="K339" i="8" s="1"/>
  <c r="F351" i="8"/>
  <c r="F352" i="8"/>
  <c r="F341" i="8"/>
  <c r="F342" i="8"/>
  <c r="F337" i="8"/>
  <c r="I225" i="9"/>
  <c r="I227" i="9" s="1"/>
  <c r="L54" i="7"/>
  <c r="J222" i="7"/>
  <c r="I222" i="7"/>
  <c r="J231" i="8"/>
  <c r="J232" i="8" s="1"/>
  <c r="L232" i="8" s="1"/>
  <c r="I233" i="8"/>
  <c r="L250" i="8"/>
  <c r="J227" i="9"/>
  <c r="L36" i="8"/>
  <c r="L127" i="8"/>
  <c r="L120" i="7"/>
  <c r="L251" i="7"/>
  <c r="L124" i="8"/>
  <c r="L129" i="8"/>
  <c r="L248" i="8"/>
  <c r="L145" i="7"/>
  <c r="L18" i="8"/>
  <c r="L262" i="8"/>
  <c r="L48" i="7"/>
  <c r="L139" i="7"/>
  <c r="L141" i="7"/>
  <c r="L237" i="7"/>
  <c r="L250" i="7"/>
  <c r="L117" i="7"/>
  <c r="L32" i="7"/>
  <c r="L114" i="7"/>
  <c r="L116" i="7"/>
  <c r="L118" i="7"/>
  <c r="L140" i="7"/>
  <c r="L142" i="7"/>
  <c r="L239" i="7"/>
  <c r="I232" i="7"/>
  <c r="L52" i="7"/>
  <c r="L30" i="7"/>
  <c r="L236" i="7"/>
  <c r="L115" i="7"/>
  <c r="L51" i="7"/>
  <c r="L231" i="7"/>
  <c r="L252" i="7"/>
  <c r="L327" i="7"/>
  <c r="L143" i="7"/>
  <c r="L235" i="7"/>
  <c r="L238" i="7"/>
  <c r="I243" i="7"/>
  <c r="I246" i="7"/>
  <c r="I229" i="7"/>
  <c r="L253" i="7"/>
  <c r="L50" i="7"/>
  <c r="L28" i="7"/>
  <c r="L29" i="7"/>
  <c r="L150" i="8"/>
  <c r="L152" i="8"/>
  <c r="L126" i="8"/>
  <c r="L155" i="8"/>
  <c r="L247" i="8"/>
  <c r="L264" i="8"/>
  <c r="L34" i="8"/>
  <c r="L149" i="8"/>
  <c r="L153" i="8"/>
  <c r="I240" i="8"/>
  <c r="L261" i="8"/>
  <c r="I254" i="8"/>
  <c r="L246" i="8"/>
  <c r="L242" i="8"/>
  <c r="J233" i="8"/>
  <c r="L256" i="8"/>
  <c r="L151" i="8"/>
  <c r="L125" i="8"/>
  <c r="J22" i="8"/>
  <c r="L22" i="8" s="1"/>
  <c r="J23" i="8"/>
  <c r="L23" i="8" s="1"/>
  <c r="L263" i="8"/>
  <c r="I243" i="8"/>
  <c r="L249" i="8"/>
  <c r="I255" i="8"/>
  <c r="I257" i="8"/>
  <c r="L260" i="8"/>
  <c r="I241" i="8"/>
  <c r="F281" i="8"/>
  <c r="J49" i="7"/>
  <c r="L49" i="7" s="1"/>
  <c r="J220" i="7"/>
  <c r="J221" i="7" s="1"/>
  <c r="L221" i="7" s="1"/>
  <c r="C228" i="7"/>
  <c r="I244" i="7"/>
  <c r="F328" i="7"/>
  <c r="K328" i="7" s="1"/>
  <c r="F331" i="7"/>
  <c r="J26" i="7"/>
  <c r="L26" i="7" s="1"/>
  <c r="I230" i="7"/>
  <c r="C326" i="7"/>
  <c r="C212" i="7"/>
  <c r="F326" i="7"/>
  <c r="I245" i="7"/>
  <c r="J27" i="7"/>
  <c r="L27" i="7" s="1"/>
  <c r="L249" i="7"/>
  <c r="K97" i="8" l="1"/>
  <c r="K42" i="8"/>
  <c r="K51" i="8"/>
  <c r="K88" i="8"/>
  <c r="F231" i="8"/>
  <c r="K98" i="8"/>
  <c r="K75" i="8"/>
  <c r="K76" i="8"/>
  <c r="K348" i="8"/>
  <c r="D117" i="8"/>
  <c r="K119" i="8" s="1"/>
  <c r="D169" i="8"/>
  <c r="K176" i="8" s="1"/>
  <c r="J21" i="7"/>
  <c r="K21" i="7" s="1"/>
  <c r="J20" i="7"/>
  <c r="K20" i="7" s="1"/>
  <c r="J234" i="5"/>
  <c r="J235" i="5"/>
  <c r="J245" i="5"/>
  <c r="J250" i="5"/>
  <c r="J241" i="5"/>
  <c r="J249" i="5"/>
  <c r="J238" i="5"/>
  <c r="J237" i="5"/>
  <c r="J239" i="5"/>
  <c r="J253" i="5"/>
  <c r="J254" i="5"/>
  <c r="J252" i="5"/>
  <c r="J242" i="5"/>
  <c r="J246" i="5"/>
  <c r="J240" i="5"/>
  <c r="J236" i="5"/>
  <c r="J247" i="5"/>
  <c r="J251" i="5"/>
  <c r="J244" i="5"/>
  <c r="J248" i="5"/>
  <c r="J243" i="5"/>
  <c r="M234" i="5"/>
  <c r="M238" i="5"/>
  <c r="M246" i="5"/>
  <c r="M253" i="5"/>
  <c r="M239" i="5"/>
  <c r="M243" i="5"/>
  <c r="M249" i="5"/>
  <c r="M235" i="5"/>
  <c r="M254" i="5"/>
  <c r="M236" i="5"/>
  <c r="M250" i="5"/>
  <c r="M244" i="5"/>
  <c r="M242" i="5"/>
  <c r="M237" i="5"/>
  <c r="M251" i="5"/>
  <c r="M245" i="5"/>
  <c r="M241" i="5"/>
  <c r="M252" i="5"/>
  <c r="M240" i="5"/>
  <c r="M248" i="5"/>
  <c r="M247" i="5"/>
  <c r="L236" i="5"/>
  <c r="L238" i="5"/>
  <c r="L249" i="5"/>
  <c r="L246" i="5"/>
  <c r="L253" i="5"/>
  <c r="L244" i="5"/>
  <c r="L251" i="5"/>
  <c r="L239" i="5"/>
  <c r="L235" i="5"/>
  <c r="L252" i="5"/>
  <c r="L254" i="5"/>
  <c r="L250" i="5"/>
  <c r="L247" i="5"/>
  <c r="L240" i="5"/>
  <c r="L241" i="5"/>
  <c r="L245" i="5"/>
  <c r="L242" i="5"/>
  <c r="L237" i="5"/>
  <c r="L248" i="5"/>
  <c r="L243" i="5"/>
  <c r="L234" i="5"/>
  <c r="M292" i="5"/>
  <c r="N80" i="5" s="1"/>
  <c r="M323" i="5"/>
  <c r="O79" i="5" s="1"/>
  <c r="M324" i="5"/>
  <c r="O80" i="5" s="1"/>
  <c r="M291" i="5"/>
  <c r="N79" i="5" s="1"/>
  <c r="M293" i="5"/>
  <c r="N81" i="5" s="1"/>
  <c r="M325" i="5"/>
  <c r="O81" i="5" s="1"/>
  <c r="M164" i="5"/>
  <c r="J80" i="5" s="1"/>
  <c r="M195" i="5"/>
  <c r="K79" i="5" s="1"/>
  <c r="M197" i="5"/>
  <c r="K81" i="5" s="1"/>
  <c r="M196" i="5"/>
  <c r="K80" i="5" s="1"/>
  <c r="I213" i="7"/>
  <c r="M163" i="5"/>
  <c r="J79" i="5" s="1"/>
  <c r="M165" i="5"/>
  <c r="J81" i="5" s="1"/>
  <c r="K346" i="8"/>
  <c r="K344" i="8"/>
  <c r="K342" i="8"/>
  <c r="K347" i="8"/>
  <c r="L243" i="8"/>
  <c r="K243" i="8"/>
  <c r="L254" i="8"/>
  <c r="K254" i="8"/>
  <c r="L257" i="8"/>
  <c r="K257" i="8"/>
  <c r="L255" i="8"/>
  <c r="K255" i="8"/>
  <c r="L240" i="8"/>
  <c r="K240" i="8"/>
  <c r="F224" i="8"/>
  <c r="K231" i="8"/>
  <c r="K337" i="8"/>
  <c r="K338" i="8"/>
  <c r="K345" i="8"/>
  <c r="K343" i="8"/>
  <c r="K287" i="8"/>
  <c r="K286" i="8"/>
  <c r="K285" i="8"/>
  <c r="K288" i="8"/>
  <c r="K283" i="8"/>
  <c r="K282" i="8"/>
  <c r="K281" i="8"/>
  <c r="K284" i="8"/>
  <c r="L241" i="8"/>
  <c r="K241" i="8"/>
  <c r="K354" i="8"/>
  <c r="K358" i="8"/>
  <c r="K355" i="8"/>
  <c r="K352" i="8"/>
  <c r="K356" i="8"/>
  <c r="K353" i="8"/>
  <c r="K357" i="8"/>
  <c r="K27" i="8"/>
  <c r="L123" i="8"/>
  <c r="K22" i="8"/>
  <c r="K23" i="8"/>
  <c r="L232" i="7"/>
  <c r="K232" i="7"/>
  <c r="L20" i="7"/>
  <c r="K334" i="7"/>
  <c r="K331" i="7"/>
  <c r="K335" i="7"/>
  <c r="K332" i="7"/>
  <c r="K336" i="7"/>
  <c r="K333" i="7"/>
  <c r="K337" i="7"/>
  <c r="L229" i="7"/>
  <c r="K229" i="7"/>
  <c r="K220" i="7"/>
  <c r="K225" i="9"/>
  <c r="L245" i="7"/>
  <c r="K245" i="7"/>
  <c r="K191" i="7"/>
  <c r="K187" i="7"/>
  <c r="K165" i="7"/>
  <c r="K160" i="7"/>
  <c r="K190" i="7"/>
  <c r="K186" i="7"/>
  <c r="K164" i="7"/>
  <c r="K159" i="7"/>
  <c r="K163" i="7"/>
  <c r="K189" i="7"/>
  <c r="K185" i="7"/>
  <c r="K162" i="7"/>
  <c r="K204" i="7"/>
  <c r="K188" i="7"/>
  <c r="K161" i="7"/>
  <c r="L246" i="7"/>
  <c r="K246" i="7"/>
  <c r="K327" i="7"/>
  <c r="K326" i="7"/>
  <c r="L230" i="7"/>
  <c r="K230" i="7"/>
  <c r="L244" i="7"/>
  <c r="K244" i="7"/>
  <c r="K137" i="7"/>
  <c r="K127" i="7"/>
  <c r="K110" i="7"/>
  <c r="K136" i="7"/>
  <c r="K113" i="7"/>
  <c r="K109" i="7"/>
  <c r="K152" i="7"/>
  <c r="K135" i="7"/>
  <c r="K112" i="7"/>
  <c r="K138" i="7"/>
  <c r="K134" i="7"/>
  <c r="K111" i="7"/>
  <c r="L243" i="7"/>
  <c r="K243" i="7"/>
  <c r="E301" i="8"/>
  <c r="F309" i="8" s="1"/>
  <c r="F267" i="8"/>
  <c r="L227" i="9"/>
  <c r="L222" i="7"/>
  <c r="L233" i="8"/>
  <c r="L231" i="8"/>
  <c r="L225" i="9"/>
  <c r="J226" i="9"/>
  <c r="L226" i="9" s="1"/>
  <c r="J74" i="8"/>
  <c r="K74" i="8" s="1"/>
  <c r="L75" i="8"/>
  <c r="J78" i="8"/>
  <c r="L78" i="8" s="1"/>
  <c r="J73" i="8"/>
  <c r="J79" i="8"/>
  <c r="L79" i="8" s="1"/>
  <c r="J100" i="8"/>
  <c r="L100" i="8" s="1"/>
  <c r="J96" i="8"/>
  <c r="K96" i="8" s="1"/>
  <c r="J95" i="8"/>
  <c r="L97" i="8"/>
  <c r="J101" i="8"/>
  <c r="L101" i="8" s="1"/>
  <c r="J32" i="8"/>
  <c r="L32" i="8" s="1"/>
  <c r="J25" i="8"/>
  <c r="K25" i="8" s="1"/>
  <c r="J26" i="8"/>
  <c r="L27" i="8"/>
  <c r="J56" i="8"/>
  <c r="L56" i="8" s="1"/>
  <c r="J49" i="8"/>
  <c r="K49" i="8" s="1"/>
  <c r="J55" i="8"/>
  <c r="L55" i="8" s="1"/>
  <c r="J50" i="8"/>
  <c r="K50" i="8" s="1"/>
  <c r="L51" i="8"/>
  <c r="L220" i="7"/>
  <c r="K18" i="4"/>
  <c r="G85" i="5"/>
  <c r="G82" i="5"/>
  <c r="E85" i="5"/>
  <c r="E82" i="5"/>
  <c r="F196" i="4"/>
  <c r="F143" i="4"/>
  <c r="C7" i="4"/>
  <c r="C6" i="4"/>
  <c r="C8" i="4"/>
  <c r="H233" i="4"/>
  <c r="H226" i="4"/>
  <c r="H232" i="4"/>
  <c r="H225" i="4"/>
  <c r="H18" i="4"/>
  <c r="H21" i="4"/>
  <c r="H231" i="4"/>
  <c r="H224" i="4"/>
  <c r="H339" i="4"/>
  <c r="H338" i="4"/>
  <c r="H20" i="4"/>
  <c r="I21" i="4"/>
  <c r="G122" i="5"/>
  <c r="E122" i="5"/>
  <c r="E127" i="5"/>
  <c r="E126" i="5"/>
  <c r="G126" i="5"/>
  <c r="E124" i="5"/>
  <c r="E123" i="5"/>
  <c r="G123" i="5"/>
  <c r="E104" i="5"/>
  <c r="G104" i="5"/>
  <c r="E102" i="5"/>
  <c r="G102" i="5"/>
  <c r="E101" i="5"/>
  <c r="G101" i="5"/>
  <c r="E99" i="5"/>
  <c r="G99" i="5"/>
  <c r="G97" i="5"/>
  <c r="F67" i="5"/>
  <c r="D67" i="5" s="1"/>
  <c r="F66" i="5"/>
  <c r="D66" i="5" s="1"/>
  <c r="B27" i="5" l="1"/>
  <c r="L21" i="7"/>
  <c r="K170" i="8"/>
  <c r="K203" i="8"/>
  <c r="K200" i="8"/>
  <c r="K199" i="8"/>
  <c r="K173" i="8"/>
  <c r="K175" i="8"/>
  <c r="K171" i="8"/>
  <c r="K216" i="8"/>
  <c r="K172" i="8"/>
  <c r="K197" i="8"/>
  <c r="K169" i="8"/>
  <c r="K189" i="8"/>
  <c r="K196" i="8"/>
  <c r="K202" i="8"/>
  <c r="K198" i="8"/>
  <c r="K117" i="8"/>
  <c r="K118" i="8"/>
  <c r="K145" i="8"/>
  <c r="K121" i="8"/>
  <c r="K136" i="8"/>
  <c r="K120" i="8"/>
  <c r="K143" i="8"/>
  <c r="K144" i="8"/>
  <c r="K146" i="8"/>
  <c r="K147" i="8"/>
  <c r="K240" i="5"/>
  <c r="N138" i="5"/>
  <c r="M260" i="5"/>
  <c r="M80" i="5" s="1"/>
  <c r="L260" i="5"/>
  <c r="M65" i="5" s="1"/>
  <c r="M259" i="5"/>
  <c r="M79" i="5" s="1"/>
  <c r="L261" i="5"/>
  <c r="M66" i="5" s="1"/>
  <c r="M261" i="5"/>
  <c r="M81" i="5" s="1"/>
  <c r="K248" i="5"/>
  <c r="K236" i="5"/>
  <c r="K250" i="5"/>
  <c r="P306" i="5"/>
  <c r="P314" i="5"/>
  <c r="P300" i="5"/>
  <c r="P303" i="5"/>
  <c r="P305" i="5"/>
  <c r="P308" i="5"/>
  <c r="P311" i="5"/>
  <c r="P313" i="5"/>
  <c r="P316" i="5"/>
  <c r="P302" i="5"/>
  <c r="P310" i="5"/>
  <c r="P318" i="5"/>
  <c r="P299" i="5"/>
  <c r="P301" i="5"/>
  <c r="P304" i="5"/>
  <c r="P307" i="5"/>
  <c r="P309" i="5"/>
  <c r="P312" i="5"/>
  <c r="P315" i="5"/>
  <c r="P317" i="5"/>
  <c r="P298" i="5"/>
  <c r="N302" i="5"/>
  <c r="N310" i="5"/>
  <c r="N318" i="5"/>
  <c r="N299" i="5"/>
  <c r="N301" i="5"/>
  <c r="N304" i="5"/>
  <c r="N307" i="5"/>
  <c r="N309" i="5"/>
  <c r="N312" i="5"/>
  <c r="N315" i="5"/>
  <c r="N317" i="5"/>
  <c r="N298" i="5"/>
  <c r="N306" i="5"/>
  <c r="N314" i="5"/>
  <c r="N300" i="5"/>
  <c r="N303" i="5"/>
  <c r="N305" i="5"/>
  <c r="N308" i="5"/>
  <c r="N311" i="5"/>
  <c r="N313" i="5"/>
  <c r="N316" i="5"/>
  <c r="K237" i="5"/>
  <c r="L259" i="5"/>
  <c r="M64" i="5" s="1"/>
  <c r="K244" i="5"/>
  <c r="K254" i="5"/>
  <c r="K238" i="5"/>
  <c r="K245" i="5"/>
  <c r="K252" i="5"/>
  <c r="K251" i="5"/>
  <c r="K246" i="5"/>
  <c r="K253" i="5"/>
  <c r="K249" i="5"/>
  <c r="K235" i="5"/>
  <c r="N274" i="5"/>
  <c r="N282" i="5"/>
  <c r="N268" i="5"/>
  <c r="N271" i="5"/>
  <c r="N273" i="5"/>
  <c r="N276" i="5"/>
  <c r="N279" i="5"/>
  <c r="N281" i="5"/>
  <c r="N284" i="5"/>
  <c r="N270" i="5"/>
  <c r="N286" i="5"/>
  <c r="N278" i="5"/>
  <c r="N267" i="5"/>
  <c r="N277" i="5"/>
  <c r="N280" i="5"/>
  <c r="N283" i="5"/>
  <c r="N269" i="5"/>
  <c r="N272" i="5"/>
  <c r="N275" i="5"/>
  <c r="N285" i="5"/>
  <c r="N266" i="5"/>
  <c r="N236" i="5"/>
  <c r="N238" i="5"/>
  <c r="N243" i="5"/>
  <c r="N254" i="5"/>
  <c r="N251" i="5"/>
  <c r="N252" i="5"/>
  <c r="N239" i="5"/>
  <c r="N237" i="5"/>
  <c r="N247" i="5"/>
  <c r="N235" i="5"/>
  <c r="N253" i="5"/>
  <c r="N242" i="5"/>
  <c r="N241" i="5"/>
  <c r="N240" i="5"/>
  <c r="N249" i="5"/>
  <c r="N246" i="5"/>
  <c r="N245" i="5"/>
  <c r="N244" i="5"/>
  <c r="N248" i="5"/>
  <c r="N250" i="5"/>
  <c r="P270" i="5"/>
  <c r="P278" i="5"/>
  <c r="P286" i="5"/>
  <c r="P267" i="5"/>
  <c r="P269" i="5"/>
  <c r="P272" i="5"/>
  <c r="P275" i="5"/>
  <c r="P277" i="5"/>
  <c r="P280" i="5"/>
  <c r="P283" i="5"/>
  <c r="P285" i="5"/>
  <c r="P266" i="5"/>
  <c r="P282" i="5"/>
  <c r="P274" i="5"/>
  <c r="P273" i="5"/>
  <c r="P276" i="5"/>
  <c r="P279" i="5"/>
  <c r="P268" i="5"/>
  <c r="P271" i="5"/>
  <c r="P281" i="5"/>
  <c r="P284" i="5"/>
  <c r="K243" i="5"/>
  <c r="K247" i="5"/>
  <c r="K242" i="5"/>
  <c r="K239" i="5"/>
  <c r="K241" i="5"/>
  <c r="M206" i="5"/>
  <c r="M214" i="5"/>
  <c r="M222" i="5"/>
  <c r="M213" i="5"/>
  <c r="M216" i="5"/>
  <c r="M221" i="5"/>
  <c r="M215" i="5"/>
  <c r="M203" i="5"/>
  <c r="M205" i="5"/>
  <c r="M208" i="5"/>
  <c r="M211" i="5"/>
  <c r="M219" i="5"/>
  <c r="M210" i="5"/>
  <c r="M218" i="5"/>
  <c r="M204" i="5"/>
  <c r="M209" i="5"/>
  <c r="M207" i="5"/>
  <c r="M212" i="5"/>
  <c r="M217" i="5"/>
  <c r="M220" i="5"/>
  <c r="M202" i="5"/>
  <c r="N234" i="5"/>
  <c r="N170" i="5"/>
  <c r="N141" i="5"/>
  <c r="N154" i="5"/>
  <c r="N139" i="5"/>
  <c r="N149" i="5"/>
  <c r="N157" i="5"/>
  <c r="N148" i="5"/>
  <c r="N140" i="5"/>
  <c r="N156" i="5"/>
  <c r="N150" i="5"/>
  <c r="N158" i="5"/>
  <c r="N147" i="5"/>
  <c r="N152" i="5"/>
  <c r="N151" i="5"/>
  <c r="N142" i="5"/>
  <c r="N153" i="5"/>
  <c r="N146" i="5"/>
  <c r="N143" i="5"/>
  <c r="N155" i="5"/>
  <c r="N144" i="5"/>
  <c r="N145" i="5"/>
  <c r="P149" i="5"/>
  <c r="P153" i="5"/>
  <c r="P157" i="5"/>
  <c r="P158" i="5"/>
  <c r="P150" i="5"/>
  <c r="P142" i="5"/>
  <c r="P147" i="5"/>
  <c r="P146" i="5"/>
  <c r="P154" i="5"/>
  <c r="P141" i="5"/>
  <c r="P156" i="5"/>
  <c r="P145" i="5"/>
  <c r="P155" i="5"/>
  <c r="P151" i="5"/>
  <c r="P143" i="5"/>
  <c r="P138" i="5"/>
  <c r="P144" i="5"/>
  <c r="P152" i="5"/>
  <c r="P148" i="5"/>
  <c r="P140" i="5"/>
  <c r="P139" i="5"/>
  <c r="N182" i="5"/>
  <c r="N171" i="5"/>
  <c r="N189" i="5"/>
  <c r="N178" i="5"/>
  <c r="N181" i="5"/>
  <c r="N190" i="5"/>
  <c r="N179" i="5"/>
  <c r="N188" i="5"/>
  <c r="N186" i="5"/>
  <c r="N175" i="5"/>
  <c r="N173" i="5"/>
  <c r="N187" i="5"/>
  <c r="N176" i="5"/>
  <c r="N185" i="5"/>
  <c r="N183" i="5"/>
  <c r="N172" i="5"/>
  <c r="N184" i="5"/>
  <c r="N174" i="5"/>
  <c r="N177" i="5"/>
  <c r="N180" i="5"/>
  <c r="F295" i="8"/>
  <c r="K295" i="8" s="1"/>
  <c r="K273" i="8"/>
  <c r="K272" i="8"/>
  <c r="K271" i="8"/>
  <c r="K274" i="8"/>
  <c r="K269" i="8"/>
  <c r="K268" i="8"/>
  <c r="K267" i="8"/>
  <c r="K270" i="8"/>
  <c r="L95" i="8"/>
  <c r="K95" i="8"/>
  <c r="L73" i="8"/>
  <c r="K73" i="8"/>
  <c r="K26" i="8"/>
  <c r="K145" i="4"/>
  <c r="K146" i="4"/>
  <c r="K144" i="4"/>
  <c r="K143" i="4"/>
  <c r="K162" i="4"/>
  <c r="K147" i="4"/>
  <c r="K200" i="4"/>
  <c r="K196" i="4"/>
  <c r="K216" i="4"/>
  <c r="K199" i="4"/>
  <c r="K203" i="4"/>
  <c r="K198" i="4"/>
  <c r="K202" i="4"/>
  <c r="K197" i="4"/>
  <c r="H237" i="8"/>
  <c r="L237" i="8" s="1"/>
  <c r="H226" i="7"/>
  <c r="L226" i="7" s="1"/>
  <c r="H188" i="10"/>
  <c r="L188" i="10" s="1"/>
  <c r="H230" i="4"/>
  <c r="L230" i="4" s="1"/>
  <c r="H231" i="9"/>
  <c r="L231" i="9" s="1"/>
  <c r="H237" i="4"/>
  <c r="L237" i="4" s="1"/>
  <c r="H238" i="9"/>
  <c r="L238" i="9" s="1"/>
  <c r="H230" i="8"/>
  <c r="L230" i="8" s="1"/>
  <c r="H219" i="7"/>
  <c r="L219" i="7" s="1"/>
  <c r="H181" i="10"/>
  <c r="L181" i="10" s="1"/>
  <c r="J215" i="7"/>
  <c r="H229" i="8"/>
  <c r="L229" i="8" s="1"/>
  <c r="H218" i="7"/>
  <c r="L218" i="7" s="1"/>
  <c r="H180" i="10"/>
  <c r="L180" i="10" s="1"/>
  <c r="H236" i="8"/>
  <c r="L236" i="8" s="1"/>
  <c r="H225" i="7"/>
  <c r="L225" i="7" s="1"/>
  <c r="H187" i="10"/>
  <c r="L187" i="10" s="1"/>
  <c r="H229" i="4"/>
  <c r="L229" i="4" s="1"/>
  <c r="H230" i="9"/>
  <c r="L230" i="9" s="1"/>
  <c r="H236" i="4"/>
  <c r="L236" i="4" s="1"/>
  <c r="H237" i="9"/>
  <c r="L237" i="9" s="1"/>
  <c r="M117" i="5"/>
  <c r="M116" i="5"/>
  <c r="M109" i="5"/>
  <c r="M122" i="5"/>
  <c r="M110" i="5"/>
  <c r="M104" i="5"/>
  <c r="M113" i="5"/>
  <c r="M107" i="5"/>
  <c r="M112" i="5"/>
  <c r="M115" i="5"/>
  <c r="M121" i="5"/>
  <c r="M108" i="5"/>
  <c r="M123" i="5"/>
  <c r="M105" i="5"/>
  <c r="M124" i="5"/>
  <c r="M106" i="5"/>
  <c r="M118" i="5"/>
  <c r="M114" i="5"/>
  <c r="M111" i="5"/>
  <c r="M119" i="5"/>
  <c r="M120" i="5"/>
  <c r="H151" i="11"/>
  <c r="L151" i="11" s="1"/>
  <c r="H153" i="11"/>
  <c r="L153" i="11" s="1"/>
  <c r="H152" i="11"/>
  <c r="L152" i="11" s="1"/>
  <c r="H150" i="11"/>
  <c r="L150" i="11" s="1"/>
  <c r="H179" i="10"/>
  <c r="L179" i="10" s="1"/>
  <c r="H186" i="10"/>
  <c r="L186" i="10" s="1"/>
  <c r="H185" i="10"/>
  <c r="L185" i="10" s="1"/>
  <c r="H178" i="10"/>
  <c r="L178" i="10" s="1"/>
  <c r="I215" i="7"/>
  <c r="H236" i="9"/>
  <c r="L236" i="9" s="1"/>
  <c r="H229" i="9"/>
  <c r="L229" i="9" s="1"/>
  <c r="H235" i="9"/>
  <c r="L235" i="9" s="1"/>
  <c r="H228" i="9"/>
  <c r="L228" i="9" s="1"/>
  <c r="E4" i="8"/>
  <c r="I224" i="8" s="1"/>
  <c r="K224" i="8" s="1"/>
  <c r="J99" i="8"/>
  <c r="J102" i="8"/>
  <c r="L102" i="8" s="1"/>
  <c r="J77" i="8"/>
  <c r="L77" i="8" s="1"/>
  <c r="J80" i="8"/>
  <c r="L80" i="8" s="1"/>
  <c r="L25" i="8"/>
  <c r="J29" i="8"/>
  <c r="L29" i="8" s="1"/>
  <c r="J33" i="8"/>
  <c r="L33" i="8" s="1"/>
  <c r="H234" i="4"/>
  <c r="H227" i="8"/>
  <c r="L227" i="8" s="1"/>
  <c r="H216" i="7"/>
  <c r="L216" i="7" s="1"/>
  <c r="H234" i="8"/>
  <c r="L234" i="8" s="1"/>
  <c r="H223" i="7"/>
  <c r="L223" i="7" s="1"/>
  <c r="H228" i="8"/>
  <c r="L228" i="8" s="1"/>
  <c r="H217" i="7"/>
  <c r="L217" i="7" s="1"/>
  <c r="H235" i="8"/>
  <c r="L235" i="8" s="1"/>
  <c r="H224" i="7"/>
  <c r="L224" i="7" s="1"/>
  <c r="J30" i="8"/>
  <c r="L30" i="8" s="1"/>
  <c r="J213" i="7"/>
  <c r="J214" i="7" s="1"/>
  <c r="L214" i="7" s="1"/>
  <c r="J57" i="8"/>
  <c r="L57" i="8" s="1"/>
  <c r="J54" i="8"/>
  <c r="L54" i="8" s="1"/>
  <c r="J53" i="8"/>
  <c r="L53" i="8" s="1"/>
  <c r="L49" i="8"/>
  <c r="H228" i="4"/>
  <c r="L18" i="4"/>
  <c r="H227" i="4"/>
  <c r="H235" i="4"/>
  <c r="F352" i="4"/>
  <c r="F351" i="4"/>
  <c r="F341" i="4"/>
  <c r="L351" i="4"/>
  <c r="L201" i="4"/>
  <c r="L174" i="4"/>
  <c r="L156" i="4"/>
  <c r="L130" i="4"/>
  <c r="L26" i="4"/>
  <c r="J32" i="4"/>
  <c r="I23" i="4"/>
  <c r="C10" i="4"/>
  <c r="C11" i="4" s="1"/>
  <c r="L239" i="9" l="1"/>
  <c r="M95" i="5"/>
  <c r="M94" i="5"/>
  <c r="M98" i="5"/>
  <c r="M96" i="5"/>
  <c r="M228" i="5"/>
  <c r="L80" i="5" s="1"/>
  <c r="N325" i="5"/>
  <c r="O76" i="5" s="1"/>
  <c r="M227" i="5"/>
  <c r="L79" i="5" s="1"/>
  <c r="P203" i="5"/>
  <c r="P205" i="5"/>
  <c r="P208" i="5"/>
  <c r="P211" i="5"/>
  <c r="P213" i="5"/>
  <c r="P216" i="5"/>
  <c r="P219" i="5"/>
  <c r="P221" i="5"/>
  <c r="P202" i="5"/>
  <c r="P210" i="5"/>
  <c r="P218" i="5"/>
  <c r="P204" i="5"/>
  <c r="P207" i="5"/>
  <c r="P209" i="5"/>
  <c r="P212" i="5"/>
  <c r="P215" i="5"/>
  <c r="P217" i="5"/>
  <c r="P220" i="5"/>
  <c r="P214" i="5"/>
  <c r="P206" i="5"/>
  <c r="P222" i="5"/>
  <c r="N324" i="5"/>
  <c r="O75" i="5" s="1"/>
  <c r="M229" i="5"/>
  <c r="L81" i="5" s="1"/>
  <c r="P190" i="5"/>
  <c r="P179" i="5"/>
  <c r="P183" i="5"/>
  <c r="P172" i="5"/>
  <c r="P180" i="5"/>
  <c r="P170" i="5"/>
  <c r="P187" i="5"/>
  <c r="P176" i="5"/>
  <c r="P185" i="5"/>
  <c r="N261" i="5"/>
  <c r="M76" i="5" s="1"/>
  <c r="N293" i="5"/>
  <c r="N76" i="5" s="1"/>
  <c r="N260" i="5"/>
  <c r="M75" i="5" s="1"/>
  <c r="P189" i="5"/>
  <c r="P178" i="5"/>
  <c r="P181" i="5"/>
  <c r="P184" i="5"/>
  <c r="P174" i="5"/>
  <c r="P177" i="5"/>
  <c r="N292" i="5"/>
  <c r="N75" i="5" s="1"/>
  <c r="N291" i="5"/>
  <c r="N74" i="5" s="1"/>
  <c r="P186" i="5"/>
  <c r="P175" i="5"/>
  <c r="P173" i="5"/>
  <c r="P182" i="5"/>
  <c r="P171" i="5"/>
  <c r="N259" i="5"/>
  <c r="M74" i="5" s="1"/>
  <c r="P188" i="5"/>
  <c r="N323" i="5"/>
  <c r="O74" i="5" s="1"/>
  <c r="N195" i="5"/>
  <c r="K74" i="5" s="1"/>
  <c r="N197" i="5"/>
  <c r="K76" i="5" s="1"/>
  <c r="N196" i="5"/>
  <c r="K75" i="5" s="1"/>
  <c r="K316" i="8"/>
  <c r="K296" i="8"/>
  <c r="K300" i="8"/>
  <c r="K309" i="8"/>
  <c r="K297" i="8"/>
  <c r="K301" i="8"/>
  <c r="K310" i="8"/>
  <c r="K313" i="8"/>
  <c r="K302" i="8"/>
  <c r="K298" i="8"/>
  <c r="K311" i="8"/>
  <c r="K314" i="8"/>
  <c r="K299" i="8"/>
  <c r="K312" i="8"/>
  <c r="K315" i="8"/>
  <c r="N164" i="5"/>
  <c r="J75" i="5" s="1"/>
  <c r="L215" i="7"/>
  <c r="N163" i="5"/>
  <c r="J74" i="5" s="1"/>
  <c r="N165" i="5"/>
  <c r="J76" i="5" s="1"/>
  <c r="M131" i="5"/>
  <c r="M129" i="5"/>
  <c r="M130" i="5"/>
  <c r="L99" i="8"/>
  <c r="K40" i="4"/>
  <c r="K97" i="4"/>
  <c r="K74" i="4"/>
  <c r="K213" i="7"/>
  <c r="L224" i="8"/>
  <c r="J225" i="8"/>
  <c r="L225" i="8" s="1"/>
  <c r="L213" i="7"/>
  <c r="F342" i="4"/>
  <c r="K345" i="4" s="1"/>
  <c r="L341" i="4"/>
  <c r="C341" i="4"/>
  <c r="L339" i="4"/>
  <c r="F339" i="4"/>
  <c r="K339" i="4" s="1"/>
  <c r="I338" i="4"/>
  <c r="L338" i="4" s="1"/>
  <c r="F337" i="4"/>
  <c r="C337" i="4"/>
  <c r="L266" i="4"/>
  <c r="L265" i="4"/>
  <c r="L264" i="4"/>
  <c r="L262" i="4"/>
  <c r="L261" i="4"/>
  <c r="I257" i="4"/>
  <c r="L259" i="4"/>
  <c r="I254" i="4"/>
  <c r="L252" i="4"/>
  <c r="L251" i="4"/>
  <c r="L250" i="4"/>
  <c r="L248" i="4"/>
  <c r="L247" i="4"/>
  <c r="I241" i="4"/>
  <c r="L245" i="4"/>
  <c r="L244" i="4"/>
  <c r="C239" i="4"/>
  <c r="L235" i="4"/>
  <c r="L234" i="4"/>
  <c r="L228" i="4"/>
  <c r="L227" i="4"/>
  <c r="C224" i="4"/>
  <c r="L155" i="4"/>
  <c r="L154" i="4"/>
  <c r="L153" i="4"/>
  <c r="L152" i="4"/>
  <c r="L151" i="4"/>
  <c r="L150" i="4"/>
  <c r="L149" i="4"/>
  <c r="L147" i="4"/>
  <c r="L146" i="4"/>
  <c r="L145" i="4"/>
  <c r="L144" i="4"/>
  <c r="L143" i="4"/>
  <c r="L129" i="4"/>
  <c r="L128" i="4"/>
  <c r="L127" i="4"/>
  <c r="L125" i="4"/>
  <c r="L124" i="4"/>
  <c r="L121" i="4"/>
  <c r="L120" i="4"/>
  <c r="L119" i="4"/>
  <c r="L118" i="4"/>
  <c r="L123" i="4"/>
  <c r="J34" i="4"/>
  <c r="L34" i="4" s="1"/>
  <c r="L33" i="4"/>
  <c r="C23" i="4"/>
  <c r="J96" i="4" s="1"/>
  <c r="I20" i="4"/>
  <c r="C17" i="4"/>
  <c r="J19" i="4" s="1"/>
  <c r="C12" i="4"/>
  <c r="J25" i="4" l="1"/>
  <c r="J49" i="4"/>
  <c r="J73" i="4"/>
  <c r="L227" i="7"/>
  <c r="J21" i="4"/>
  <c r="J20" i="4"/>
  <c r="M97" i="5"/>
  <c r="P244" i="5"/>
  <c r="P238" i="5"/>
  <c r="P245" i="5"/>
  <c r="P249" i="5"/>
  <c r="P239" i="5"/>
  <c r="P241" i="5"/>
  <c r="P236" i="5"/>
  <c r="P248" i="5"/>
  <c r="P251" i="5"/>
  <c r="P243" i="5"/>
  <c r="P246" i="5"/>
  <c r="P242" i="5"/>
  <c r="P253" i="5"/>
  <c r="P252" i="5"/>
  <c r="P237" i="5"/>
  <c r="P235" i="5"/>
  <c r="P247" i="5"/>
  <c r="P240" i="5"/>
  <c r="P250" i="5"/>
  <c r="P254" i="5"/>
  <c r="P234" i="5"/>
  <c r="N204" i="5"/>
  <c r="N207" i="5"/>
  <c r="N209" i="5"/>
  <c r="N212" i="5"/>
  <c r="N215" i="5"/>
  <c r="N217" i="5"/>
  <c r="N220" i="5"/>
  <c r="N206" i="5"/>
  <c r="N214" i="5"/>
  <c r="N222" i="5"/>
  <c r="N203" i="5"/>
  <c r="N205" i="5"/>
  <c r="N208" i="5"/>
  <c r="N211" i="5"/>
  <c r="N213" i="5"/>
  <c r="N216" i="5"/>
  <c r="N219" i="5"/>
  <c r="N221" i="5"/>
  <c r="N202" i="5"/>
  <c r="N210" i="5"/>
  <c r="N218" i="5"/>
  <c r="P227" i="5"/>
  <c r="L89" i="5" s="1"/>
  <c r="P228" i="5"/>
  <c r="L90" i="5" s="1"/>
  <c r="P323" i="5"/>
  <c r="O89" i="5" s="1"/>
  <c r="P324" i="5"/>
  <c r="O90" i="5" s="1"/>
  <c r="P293" i="5"/>
  <c r="N91" i="5" s="1"/>
  <c r="P229" i="5"/>
  <c r="L91" i="5" s="1"/>
  <c r="P291" i="5"/>
  <c r="N89" i="5" s="1"/>
  <c r="P292" i="5"/>
  <c r="N90" i="5" s="1"/>
  <c r="P325" i="5"/>
  <c r="O91" i="5" s="1"/>
  <c r="P196" i="5"/>
  <c r="K90" i="5" s="1"/>
  <c r="P197" i="5"/>
  <c r="K91" i="5" s="1"/>
  <c r="P195" i="5"/>
  <c r="K89" i="5" s="1"/>
  <c r="P113" i="5"/>
  <c r="P116" i="5"/>
  <c r="P106" i="5"/>
  <c r="P119" i="5"/>
  <c r="P120" i="5"/>
  <c r="P114" i="5"/>
  <c r="P115" i="5"/>
  <c r="P118" i="5"/>
  <c r="P105" i="5"/>
  <c r="P123" i="5"/>
  <c r="P111" i="5"/>
  <c r="P110" i="5"/>
  <c r="P163" i="5"/>
  <c r="J89" i="5" s="1"/>
  <c r="P124" i="5"/>
  <c r="P107" i="5"/>
  <c r="P112" i="5"/>
  <c r="P122" i="5"/>
  <c r="P104" i="5"/>
  <c r="P108" i="5"/>
  <c r="P117" i="5"/>
  <c r="P121" i="5"/>
  <c r="P109" i="5"/>
  <c r="P165" i="5"/>
  <c r="J91" i="5" s="1"/>
  <c r="P164" i="5"/>
  <c r="J90" i="5" s="1"/>
  <c r="L254" i="4"/>
  <c r="K254" i="4"/>
  <c r="K343" i="4"/>
  <c r="L241" i="4"/>
  <c r="K241" i="4"/>
  <c r="K338" i="4"/>
  <c r="K337" i="4"/>
  <c r="K348" i="4"/>
  <c r="K346" i="4"/>
  <c r="K354" i="4"/>
  <c r="K358" i="4"/>
  <c r="K355" i="4"/>
  <c r="K352" i="4"/>
  <c r="K356" i="4"/>
  <c r="K353" i="4"/>
  <c r="K357" i="4"/>
  <c r="L257" i="4"/>
  <c r="K257" i="4"/>
  <c r="K344" i="4"/>
  <c r="K342" i="4"/>
  <c r="K118" i="4"/>
  <c r="K121" i="4"/>
  <c r="K117" i="4"/>
  <c r="K136" i="4"/>
  <c r="K120" i="4"/>
  <c r="K119" i="4"/>
  <c r="K347" i="4"/>
  <c r="N113" i="5"/>
  <c r="N114" i="5"/>
  <c r="N104" i="5"/>
  <c r="N116" i="5"/>
  <c r="N111" i="5"/>
  <c r="N106" i="5"/>
  <c r="N108" i="5"/>
  <c r="N110" i="5"/>
  <c r="N121" i="5"/>
  <c r="N120" i="5"/>
  <c r="N105" i="5"/>
  <c r="N122" i="5"/>
  <c r="N115" i="5"/>
  <c r="N117" i="5"/>
  <c r="N124" i="5"/>
  <c r="N107" i="5"/>
  <c r="N119" i="5"/>
  <c r="N118" i="5"/>
  <c r="N109" i="5"/>
  <c r="N112" i="5"/>
  <c r="N123" i="5"/>
  <c r="M35" i="5"/>
  <c r="M46" i="5" s="1"/>
  <c r="I226" i="8"/>
  <c r="L226" i="8" s="1"/>
  <c r="K73" i="4"/>
  <c r="M239" i="9"/>
  <c r="I255" i="4"/>
  <c r="L32" i="4"/>
  <c r="L249" i="4"/>
  <c r="L246" i="4"/>
  <c r="L263" i="4"/>
  <c r="L126" i="4"/>
  <c r="I242" i="4"/>
  <c r="L260" i="4"/>
  <c r="I256" i="4"/>
  <c r="I243" i="4"/>
  <c r="I240" i="4"/>
  <c r="L238" i="8" l="1"/>
  <c r="P95" i="5"/>
  <c r="P98" i="5"/>
  <c r="N95" i="5"/>
  <c r="P96" i="5"/>
  <c r="P94" i="5"/>
  <c r="N96" i="5"/>
  <c r="N94" i="5"/>
  <c r="N98" i="5"/>
  <c r="P130" i="5"/>
  <c r="P259" i="5"/>
  <c r="M89" i="5" s="1"/>
  <c r="P260" i="5"/>
  <c r="M90" i="5" s="1"/>
  <c r="O300" i="5"/>
  <c r="O303" i="5"/>
  <c r="O305" i="5"/>
  <c r="O308" i="5"/>
  <c r="O311" i="5"/>
  <c r="O313" i="5"/>
  <c r="O316" i="5"/>
  <c r="O298" i="5"/>
  <c r="O302" i="5"/>
  <c r="O310" i="5"/>
  <c r="O318" i="5"/>
  <c r="O299" i="5"/>
  <c r="O301" i="5"/>
  <c r="O304" i="5"/>
  <c r="O307" i="5"/>
  <c r="O309" i="5"/>
  <c r="O312" i="5"/>
  <c r="O315" i="5"/>
  <c r="O317" i="5"/>
  <c r="O306" i="5"/>
  <c r="O314" i="5"/>
  <c r="P261" i="5"/>
  <c r="M91" i="5" s="1"/>
  <c r="O267" i="5"/>
  <c r="O269" i="5"/>
  <c r="O272" i="5"/>
  <c r="O275" i="5"/>
  <c r="O277" i="5"/>
  <c r="O280" i="5"/>
  <c r="O283" i="5"/>
  <c r="O285" i="5"/>
  <c r="O274" i="5"/>
  <c r="O282" i="5"/>
  <c r="O273" i="5"/>
  <c r="O276" i="5"/>
  <c r="O279" i="5"/>
  <c r="O268" i="5"/>
  <c r="O281" i="5"/>
  <c r="O284" i="5"/>
  <c r="O266" i="5"/>
  <c r="O270" i="5"/>
  <c r="O286" i="5"/>
  <c r="O271" i="5"/>
  <c r="O278" i="5"/>
  <c r="N228" i="5"/>
  <c r="L75" i="5" s="1"/>
  <c r="N227" i="5"/>
  <c r="L74" i="5" s="1"/>
  <c r="N229" i="5"/>
  <c r="L76" i="5" s="1"/>
  <c r="P131" i="5"/>
  <c r="P129" i="5"/>
  <c r="N129" i="5"/>
  <c r="N131" i="5"/>
  <c r="N130" i="5"/>
  <c r="L256" i="4"/>
  <c r="K256" i="4"/>
  <c r="J29" i="4"/>
  <c r="L29" i="4" s="1"/>
  <c r="K25" i="4"/>
  <c r="K19" i="4"/>
  <c r="K189" i="4"/>
  <c r="K172" i="4"/>
  <c r="K176" i="4"/>
  <c r="K171" i="4"/>
  <c r="K175" i="4"/>
  <c r="K170" i="4"/>
  <c r="K173" i="4"/>
  <c r="K169" i="4"/>
  <c r="J54" i="4"/>
  <c r="L54" i="4" s="1"/>
  <c r="K49" i="4"/>
  <c r="L240" i="4"/>
  <c r="K240" i="4"/>
  <c r="L243" i="4"/>
  <c r="K243" i="4"/>
  <c r="L242" i="4"/>
  <c r="K242" i="4"/>
  <c r="L255" i="4"/>
  <c r="K255" i="4"/>
  <c r="J94" i="4"/>
  <c r="K96" i="4"/>
  <c r="M227" i="7"/>
  <c r="N35" i="5"/>
  <c r="N46" i="5" s="1"/>
  <c r="M238" i="8"/>
  <c r="J233" i="4"/>
  <c r="J231" i="4"/>
  <c r="J232" i="4" s="1"/>
  <c r="L232" i="4" s="1"/>
  <c r="P35" i="5"/>
  <c r="P46" i="5" s="1"/>
  <c r="J47" i="4"/>
  <c r="J48" i="4"/>
  <c r="J53" i="4"/>
  <c r="L53" i="4" s="1"/>
  <c r="L49" i="4"/>
  <c r="J101" i="4"/>
  <c r="L101" i="4" s="1"/>
  <c r="J95" i="4"/>
  <c r="K95" i="4" s="1"/>
  <c r="J100" i="4"/>
  <c r="L100" i="4" s="1"/>
  <c r="L96" i="4"/>
  <c r="J72" i="4"/>
  <c r="K72" i="4" s="1"/>
  <c r="J77" i="4"/>
  <c r="L77" i="4" s="1"/>
  <c r="J78" i="4"/>
  <c r="L78" i="4" s="1"/>
  <c r="J71" i="4"/>
  <c r="L73" i="4"/>
  <c r="L25" i="4"/>
  <c r="J30" i="4"/>
  <c r="L30" i="4" s="1"/>
  <c r="J23" i="4"/>
  <c r="J24" i="4"/>
  <c r="E4" i="4" l="1"/>
  <c r="I224" i="4" s="1"/>
  <c r="I226" i="4" s="1"/>
  <c r="P97" i="5"/>
  <c r="N97" i="5"/>
  <c r="O242" i="5"/>
  <c r="O244" i="5"/>
  <c r="O240" i="5"/>
  <c r="O252" i="5"/>
  <c r="O251" i="5"/>
  <c r="O241" i="5"/>
  <c r="O254" i="5"/>
  <c r="O236" i="5"/>
  <c r="O245" i="5"/>
  <c r="O243" i="5"/>
  <c r="O238" i="5"/>
  <c r="O253" i="5"/>
  <c r="O237" i="5"/>
  <c r="O246" i="5"/>
  <c r="O239" i="5"/>
  <c r="O250" i="5"/>
  <c r="O247" i="5"/>
  <c r="O235" i="5"/>
  <c r="O248" i="5"/>
  <c r="O249" i="5"/>
  <c r="O234" i="5"/>
  <c r="K23" i="4"/>
  <c r="L71" i="4"/>
  <c r="K71" i="4"/>
  <c r="J51" i="4"/>
  <c r="L51" i="4" s="1"/>
  <c r="K47" i="4"/>
  <c r="J31" i="4"/>
  <c r="L31" i="4" s="1"/>
  <c r="K24" i="4"/>
  <c r="J52" i="4"/>
  <c r="L52" i="4" s="1"/>
  <c r="K48" i="4"/>
  <c r="I233" i="4"/>
  <c r="L233" i="4" s="1"/>
  <c r="K231" i="4"/>
  <c r="L20" i="4"/>
  <c r="K20" i="4"/>
  <c r="L94" i="4"/>
  <c r="K94" i="4"/>
  <c r="L21" i="4"/>
  <c r="K21" i="4"/>
  <c r="L231" i="4"/>
  <c r="L47" i="4"/>
  <c r="J55" i="4"/>
  <c r="L55" i="4" s="1"/>
  <c r="J102" i="4"/>
  <c r="L102" i="4" s="1"/>
  <c r="J99" i="4"/>
  <c r="L99" i="4" s="1"/>
  <c r="J27" i="4"/>
  <c r="L27" i="4" s="1"/>
  <c r="J79" i="4"/>
  <c r="L79" i="4" s="1"/>
  <c r="J76" i="4"/>
  <c r="L76" i="4" s="1"/>
  <c r="L23" i="4"/>
  <c r="J28" i="4"/>
  <c r="L28" i="4" s="1"/>
  <c r="J225" i="4" l="1"/>
  <c r="L225" i="4" s="1"/>
  <c r="K224" i="4"/>
  <c r="O142" i="5"/>
  <c r="O171" i="5"/>
  <c r="O174" i="5"/>
  <c r="O176" i="5"/>
  <c r="O179" i="5"/>
  <c r="O182" i="5"/>
  <c r="O184" i="5"/>
  <c r="O187" i="5"/>
  <c r="O190" i="5"/>
  <c r="O173" i="5"/>
  <c r="O181" i="5"/>
  <c r="O172" i="5"/>
  <c r="O175" i="5"/>
  <c r="O178" i="5"/>
  <c r="O180" i="5"/>
  <c r="O183" i="5"/>
  <c r="O186" i="5"/>
  <c r="O189" i="5"/>
  <c r="O177" i="5"/>
  <c r="O185" i="5"/>
  <c r="O188" i="5"/>
  <c r="O170" i="5"/>
  <c r="O139" i="5"/>
  <c r="O157" i="5"/>
  <c r="O149" i="5"/>
  <c r="O146" i="5"/>
  <c r="O156" i="5"/>
  <c r="O151" i="5"/>
  <c r="O155" i="5"/>
  <c r="O138" i="5"/>
  <c r="O144" i="5"/>
  <c r="O140" i="5"/>
  <c r="O145" i="5"/>
  <c r="O152" i="5"/>
  <c r="O147" i="5"/>
  <c r="O143" i="5"/>
  <c r="O150" i="5"/>
  <c r="O153" i="5"/>
  <c r="O148" i="5"/>
  <c r="O158" i="5"/>
  <c r="O141" i="5"/>
  <c r="O154" i="5"/>
  <c r="L226" i="4"/>
  <c r="L224" i="4"/>
  <c r="L238" i="4" l="1"/>
  <c r="O210" i="5"/>
  <c r="O215" i="5"/>
  <c r="O213" i="5"/>
  <c r="O206" i="5"/>
  <c r="O208" i="5"/>
  <c r="O219" i="5"/>
  <c r="O116" i="5"/>
  <c r="O120" i="5"/>
  <c r="O117" i="5"/>
  <c r="O106" i="5"/>
  <c r="O118" i="5"/>
  <c r="O218" i="5"/>
  <c r="O220" i="5"/>
  <c r="O204" i="5"/>
  <c r="O214" i="5"/>
  <c r="O216" i="5"/>
  <c r="O105" i="5"/>
  <c r="O115" i="5"/>
  <c r="O112" i="5"/>
  <c r="O113" i="5"/>
  <c r="O104" i="5"/>
  <c r="O121" i="5"/>
  <c r="O207" i="5"/>
  <c r="O202" i="5"/>
  <c r="O209" i="5"/>
  <c r="O222" i="5"/>
  <c r="O205" i="5"/>
  <c r="O123" i="5"/>
  <c r="O119" i="5"/>
  <c r="O111" i="5"/>
  <c r="O108" i="5"/>
  <c r="O109" i="5"/>
  <c r="O212" i="5"/>
  <c r="O211" i="5"/>
  <c r="O217" i="5"/>
  <c r="O203" i="5"/>
  <c r="O221" i="5"/>
  <c r="O110" i="5"/>
  <c r="O122" i="5"/>
  <c r="O107" i="5"/>
  <c r="O124" i="5"/>
  <c r="O114" i="5"/>
  <c r="O324" i="5"/>
  <c r="O85" i="5" s="1"/>
  <c r="O323" i="5"/>
  <c r="O84" i="5" s="1"/>
  <c r="O291" i="5"/>
  <c r="N84" i="5" s="1"/>
  <c r="O325" i="5"/>
  <c r="O86" i="5" s="1"/>
  <c r="O292" i="5"/>
  <c r="N85" i="5" s="1"/>
  <c r="O261" i="5"/>
  <c r="M86" i="5" s="1"/>
  <c r="O293" i="5"/>
  <c r="N86" i="5" s="1"/>
  <c r="O260" i="5"/>
  <c r="M85" i="5" s="1"/>
  <c r="O259" i="5"/>
  <c r="M84" i="5" s="1"/>
  <c r="O196" i="5"/>
  <c r="K85" i="5" s="1"/>
  <c r="O164" i="5"/>
  <c r="J85" i="5" s="1"/>
  <c r="O197" i="5"/>
  <c r="K86" i="5" s="1"/>
  <c r="O195" i="5"/>
  <c r="K84" i="5" s="1"/>
  <c r="O165" i="5"/>
  <c r="J86" i="5" s="1"/>
  <c r="O163" i="5"/>
  <c r="J84" i="5" s="1"/>
  <c r="O227" i="5" l="1"/>
  <c r="L84" i="5" s="1"/>
  <c r="O228" i="5"/>
  <c r="L85" i="5" s="1"/>
  <c r="O229" i="5"/>
  <c r="L86" i="5" s="1"/>
  <c r="O130" i="5"/>
  <c r="O131" i="5"/>
  <c r="O96" i="5"/>
  <c r="O98" i="5"/>
  <c r="O94" i="5"/>
  <c r="O95" i="5"/>
  <c r="O129" i="5"/>
  <c r="O35" i="5"/>
  <c r="O46" i="5" s="1"/>
  <c r="M238" i="4"/>
  <c r="O97" i="5" l="1"/>
  <c r="D14" i="10" l="1"/>
  <c r="K14" i="10" s="1"/>
  <c r="J148" i="5" l="1"/>
  <c r="K148" i="5" s="1"/>
  <c r="J139" i="5"/>
  <c r="K139" i="5" s="1"/>
  <c r="J138" i="5"/>
  <c r="J150" i="5"/>
  <c r="K150" i="5" s="1"/>
  <c r="J152" i="5"/>
  <c r="K152" i="5" s="1"/>
  <c r="J155" i="5"/>
  <c r="K155" i="5" s="1"/>
  <c r="J143" i="5"/>
  <c r="K143" i="5" s="1"/>
  <c r="J156" i="5"/>
  <c r="K156" i="5" s="1"/>
  <c r="J147" i="5"/>
  <c r="K147" i="5" s="1"/>
  <c r="J144" i="5"/>
  <c r="K144" i="5" s="1"/>
  <c r="J142" i="5"/>
  <c r="K142" i="5" s="1"/>
  <c r="J154" i="5"/>
  <c r="K154" i="5" s="1"/>
  <c r="J149" i="5"/>
  <c r="K149" i="5" s="1"/>
  <c r="J141" i="5"/>
  <c r="K141" i="5" s="1"/>
  <c r="J146" i="5"/>
  <c r="K146" i="5" s="1"/>
  <c r="J151" i="5"/>
  <c r="K151" i="5" s="1"/>
  <c r="J140" i="5"/>
  <c r="K140" i="5" s="1"/>
  <c r="J153" i="5"/>
  <c r="K153" i="5" s="1"/>
  <c r="J157" i="5"/>
  <c r="K157" i="5" s="1"/>
  <c r="J145" i="5"/>
  <c r="K145" i="5" s="1"/>
  <c r="J158" i="5"/>
  <c r="K158" i="5" s="1"/>
  <c r="C4" i="10"/>
  <c r="C12" i="10" s="1"/>
  <c r="G80" i="5"/>
  <c r="E80" i="5"/>
  <c r="C4" i="11" l="1"/>
  <c r="C6" i="11" s="1"/>
  <c r="K45" i="10"/>
  <c r="C190" i="10"/>
  <c r="C288" i="10"/>
  <c r="C218" i="10"/>
  <c r="C274" i="10" s="1"/>
  <c r="C175" i="10"/>
  <c r="I175" i="10" s="1"/>
  <c r="C292" i="10"/>
  <c r="C16" i="10"/>
  <c r="E81" i="5"/>
  <c r="G81" i="5"/>
  <c r="E125" i="5"/>
  <c r="J175" i="10" l="1"/>
  <c r="J176" i="10" s="1"/>
  <c r="L176" i="10" s="1"/>
  <c r="K21" i="10"/>
  <c r="K20" i="10"/>
  <c r="J149" i="11"/>
  <c r="J147" i="11"/>
  <c r="J148" i="11" s="1"/>
  <c r="L148" i="11" s="1"/>
  <c r="K111" i="10"/>
  <c r="K90" i="10"/>
  <c r="K94" i="10"/>
  <c r="K84" i="10"/>
  <c r="K88" i="10"/>
  <c r="K67" i="10"/>
  <c r="K64" i="10"/>
  <c r="K61" i="10"/>
  <c r="K109" i="10"/>
  <c r="K89" i="10"/>
  <c r="K65" i="10"/>
  <c r="K59" i="10"/>
  <c r="K107" i="10"/>
  <c r="K83" i="10"/>
  <c r="K66" i="10"/>
  <c r="K60" i="10"/>
  <c r="K108" i="10"/>
  <c r="K112" i="10"/>
  <c r="K91" i="10"/>
  <c r="K95" i="10"/>
  <c r="K85" i="10"/>
  <c r="K82" i="10"/>
  <c r="K68" i="10"/>
  <c r="K58" i="10"/>
  <c r="K62" i="10"/>
  <c r="K113" i="10"/>
  <c r="K86" i="10"/>
  <c r="K69" i="10"/>
  <c r="K63" i="10"/>
  <c r="K110" i="10"/>
  <c r="K93" i="10"/>
  <c r="K87" i="10"/>
  <c r="K70" i="10"/>
  <c r="K57" i="10"/>
  <c r="K41" i="10"/>
  <c r="K40" i="10"/>
  <c r="K37" i="10"/>
  <c r="K16" i="10"/>
  <c r="K42" i="10"/>
  <c r="K34" i="10"/>
  <c r="K38" i="10"/>
  <c r="K43" i="10"/>
  <c r="K35" i="10"/>
  <c r="K39" i="10"/>
  <c r="K19" i="10"/>
  <c r="K44" i="10"/>
  <c r="K36" i="10"/>
  <c r="K33" i="10"/>
  <c r="J177" i="10"/>
  <c r="C155" i="11"/>
  <c r="C24" i="11"/>
  <c r="C252" i="11"/>
  <c r="C13" i="11"/>
  <c r="C266" i="11"/>
  <c r="C270" i="11"/>
  <c r="C183" i="11"/>
  <c r="C239" i="11"/>
  <c r="C147" i="11"/>
  <c r="I147" i="11" s="1"/>
  <c r="I149" i="11" s="1"/>
  <c r="K175" i="10" l="1"/>
  <c r="L175" i="10"/>
  <c r="K147" i="11"/>
  <c r="L209" i="5" s="1"/>
  <c r="K169" i="10"/>
  <c r="K173" i="10"/>
  <c r="K147" i="10"/>
  <c r="K151" i="10"/>
  <c r="K155" i="10"/>
  <c r="K140" i="10"/>
  <c r="K137" i="10"/>
  <c r="K118" i="10"/>
  <c r="K122" i="10"/>
  <c r="K138" i="10"/>
  <c r="K120" i="10"/>
  <c r="K172" i="10"/>
  <c r="K150" i="10"/>
  <c r="K139" i="10"/>
  <c r="K117" i="10"/>
  <c r="K125" i="10"/>
  <c r="K170" i="10"/>
  <c r="K167" i="10"/>
  <c r="K148" i="10"/>
  <c r="K152" i="10"/>
  <c r="K141" i="10"/>
  <c r="K115" i="10"/>
  <c r="K119" i="10"/>
  <c r="K123" i="10"/>
  <c r="K171" i="10"/>
  <c r="K145" i="10"/>
  <c r="K149" i="10"/>
  <c r="K153" i="10"/>
  <c r="K142" i="10"/>
  <c r="K116" i="10"/>
  <c r="K124" i="10"/>
  <c r="K168" i="10"/>
  <c r="K146" i="10"/>
  <c r="K154" i="10"/>
  <c r="K143" i="10"/>
  <c r="K121" i="10"/>
  <c r="J184" i="10"/>
  <c r="I184" i="10"/>
  <c r="I177" i="10"/>
  <c r="L177" i="10" s="1"/>
  <c r="L149" i="11"/>
  <c r="L147" i="11"/>
  <c r="L122" i="5" l="1"/>
  <c r="L114" i="5"/>
  <c r="L154" i="11"/>
  <c r="L121" i="5"/>
  <c r="L120" i="5"/>
  <c r="L118" i="5"/>
  <c r="L106" i="5"/>
  <c r="L113" i="5"/>
  <c r="L104" i="5"/>
  <c r="L105" i="5"/>
  <c r="L110" i="5"/>
  <c r="L117" i="5"/>
  <c r="L108" i="5"/>
  <c r="L109" i="5"/>
  <c r="L116" i="5"/>
  <c r="L124" i="5"/>
  <c r="L123" i="5"/>
  <c r="L111" i="5"/>
  <c r="L112" i="5"/>
  <c r="L107" i="5"/>
  <c r="L119" i="5"/>
  <c r="L115" i="5"/>
  <c r="L202" i="5"/>
  <c r="L221" i="5"/>
  <c r="L210" i="5"/>
  <c r="L216" i="5"/>
  <c r="L213" i="5"/>
  <c r="L211" i="5"/>
  <c r="L203" i="5"/>
  <c r="L206" i="5"/>
  <c r="L214" i="5"/>
  <c r="L205" i="5"/>
  <c r="L220" i="5"/>
  <c r="L218" i="5"/>
  <c r="L219" i="5"/>
  <c r="L208" i="5"/>
  <c r="L222" i="5"/>
  <c r="L217" i="5"/>
  <c r="L215" i="5"/>
  <c r="L212" i="5"/>
  <c r="L207" i="5"/>
  <c r="J183" i="10"/>
  <c r="L183" i="10" s="1"/>
  <c r="L204" i="5"/>
  <c r="J203" i="5"/>
  <c r="J205" i="5"/>
  <c r="J208" i="5"/>
  <c r="J210" i="5"/>
  <c r="J213" i="5"/>
  <c r="J216" i="5"/>
  <c r="J218" i="5"/>
  <c r="J221" i="5"/>
  <c r="J207" i="5"/>
  <c r="J215" i="5"/>
  <c r="J204" i="5"/>
  <c r="J206" i="5"/>
  <c r="J209" i="5"/>
  <c r="K209" i="5" s="1"/>
  <c r="J212" i="5"/>
  <c r="J214" i="5"/>
  <c r="J217" i="5"/>
  <c r="J220" i="5"/>
  <c r="J222" i="5"/>
  <c r="J211" i="5"/>
  <c r="J219" i="5"/>
  <c r="J202" i="5"/>
  <c r="J174" i="5"/>
  <c r="J185" i="5"/>
  <c r="J175" i="5"/>
  <c r="J186" i="5"/>
  <c r="K186" i="5" s="1"/>
  <c r="J184" i="5"/>
  <c r="J173" i="5"/>
  <c r="J183" i="5"/>
  <c r="J172" i="5"/>
  <c r="K172" i="5" s="1"/>
  <c r="J178" i="5"/>
  <c r="J181" i="5"/>
  <c r="K181" i="5" s="1"/>
  <c r="J171" i="5"/>
  <c r="K171" i="5" s="1"/>
  <c r="J180" i="5"/>
  <c r="J170" i="5"/>
  <c r="J190" i="5"/>
  <c r="K190" i="5" s="1"/>
  <c r="J179" i="5"/>
  <c r="J182" i="5"/>
  <c r="K182" i="5" s="1"/>
  <c r="J188" i="5"/>
  <c r="K188" i="5" s="1"/>
  <c r="J177" i="5"/>
  <c r="K177" i="5" s="1"/>
  <c r="J189" i="5"/>
  <c r="K189" i="5" s="1"/>
  <c r="J187" i="5"/>
  <c r="K187" i="5" s="1"/>
  <c r="J176" i="5"/>
  <c r="K176" i="5" s="1"/>
  <c r="J107" i="5"/>
  <c r="J111" i="5"/>
  <c r="J115" i="5"/>
  <c r="J119" i="5"/>
  <c r="J123" i="5"/>
  <c r="J121" i="5"/>
  <c r="J108" i="5"/>
  <c r="J112" i="5"/>
  <c r="J116" i="5"/>
  <c r="J120" i="5"/>
  <c r="J124" i="5"/>
  <c r="J105" i="5"/>
  <c r="J109" i="5"/>
  <c r="J113" i="5"/>
  <c r="J117" i="5"/>
  <c r="J106" i="5"/>
  <c r="J110" i="5"/>
  <c r="J114" i="5"/>
  <c r="J118" i="5"/>
  <c r="J122" i="5"/>
  <c r="J104" i="5"/>
  <c r="L184" i="10"/>
  <c r="L182" i="10"/>
  <c r="K219" i="5" l="1"/>
  <c r="L131" i="5"/>
  <c r="L189" i="10"/>
  <c r="K218" i="5"/>
  <c r="L130" i="5"/>
  <c r="L129" i="5"/>
  <c r="K221" i="5"/>
  <c r="K216" i="5"/>
  <c r="K206" i="5"/>
  <c r="K210" i="5"/>
  <c r="L228" i="5"/>
  <c r="L65" i="5" s="1"/>
  <c r="K213" i="5"/>
  <c r="K211" i="5"/>
  <c r="K212" i="5"/>
  <c r="K205" i="5"/>
  <c r="L229" i="5"/>
  <c r="L66" i="5" s="1"/>
  <c r="K220" i="5"/>
  <c r="K203" i="5"/>
  <c r="K214" i="5"/>
  <c r="K215" i="5"/>
  <c r="K98" i="5"/>
  <c r="K95" i="5"/>
  <c r="K96" i="5"/>
  <c r="K94" i="5"/>
  <c r="K207" i="5"/>
  <c r="K217" i="5"/>
  <c r="K208" i="5"/>
  <c r="K222" i="5"/>
  <c r="L227" i="5"/>
  <c r="L64" i="5" s="1"/>
  <c r="K204" i="5"/>
  <c r="K184" i="5"/>
  <c r="K183" i="5"/>
  <c r="K185" i="5"/>
  <c r="K175" i="5"/>
  <c r="K180" i="5"/>
  <c r="K178" i="5"/>
  <c r="K173" i="5"/>
  <c r="K179" i="5"/>
  <c r="K174" i="5"/>
  <c r="J229" i="5"/>
  <c r="L61" i="5" s="1"/>
  <c r="K291" i="5"/>
  <c r="J291" i="5"/>
  <c r="N59" i="5" s="1"/>
  <c r="K323" i="5"/>
  <c r="J323" i="5"/>
  <c r="O59" i="5" s="1"/>
  <c r="J324" i="5"/>
  <c r="O60" i="5" s="1"/>
  <c r="K298" i="5"/>
  <c r="K324" i="5" s="1"/>
  <c r="J227" i="5"/>
  <c r="L59" i="5" s="1"/>
  <c r="J260" i="5"/>
  <c r="M60" i="5" s="1"/>
  <c r="K234" i="5"/>
  <c r="K260" i="5" s="1"/>
  <c r="J228" i="5"/>
  <c r="L60" i="5" s="1"/>
  <c r="K202" i="5"/>
  <c r="J292" i="5"/>
  <c r="N60" i="5" s="1"/>
  <c r="K266" i="5"/>
  <c r="K292" i="5" s="1"/>
  <c r="K259" i="5"/>
  <c r="J259" i="5"/>
  <c r="M59" i="5" s="1"/>
  <c r="J325" i="5"/>
  <c r="O61" i="5" s="1"/>
  <c r="K325" i="5"/>
  <c r="J261" i="5"/>
  <c r="M61" i="5" s="1"/>
  <c r="K261" i="5"/>
  <c r="J293" i="5"/>
  <c r="N61" i="5" s="1"/>
  <c r="K293" i="5"/>
  <c r="J196" i="5"/>
  <c r="K60" i="5" s="1"/>
  <c r="K170" i="5"/>
  <c r="K196" i="5" s="1"/>
  <c r="J195" i="5"/>
  <c r="K59" i="5" s="1"/>
  <c r="J197" i="5"/>
  <c r="K61" i="5" s="1"/>
  <c r="J130" i="5"/>
  <c r="J163" i="5"/>
  <c r="J59" i="5" s="1"/>
  <c r="K163" i="5"/>
  <c r="K138" i="5"/>
  <c r="K164" i="5" s="1"/>
  <c r="J164" i="5"/>
  <c r="J60" i="5" s="1"/>
  <c r="J165" i="5"/>
  <c r="J61" i="5" s="1"/>
  <c r="K165" i="5"/>
  <c r="J129" i="5"/>
  <c r="J131" i="5"/>
  <c r="K104" i="5"/>
  <c r="K122" i="5"/>
  <c r="K106" i="5"/>
  <c r="K105" i="5"/>
  <c r="K112" i="5"/>
  <c r="K119" i="5"/>
  <c r="K110" i="5"/>
  <c r="K118" i="5"/>
  <c r="K117" i="5"/>
  <c r="K124" i="5"/>
  <c r="K108" i="5"/>
  <c r="K115" i="5"/>
  <c r="K114" i="5"/>
  <c r="K113" i="5"/>
  <c r="K120" i="5"/>
  <c r="K121" i="5"/>
  <c r="K111" i="5"/>
  <c r="K109" i="5"/>
  <c r="K116" i="5"/>
  <c r="K123" i="5"/>
  <c r="K107" i="5"/>
  <c r="L35" i="5"/>
  <c r="L46" i="5" s="1"/>
  <c r="M154" i="11"/>
  <c r="L69" i="5" l="1"/>
  <c r="J69" i="5"/>
  <c r="J35" i="5"/>
  <c r="K35" i="5" s="1"/>
  <c r="K46" i="5" s="1"/>
  <c r="K229" i="5"/>
  <c r="K227" i="5"/>
  <c r="K97" i="5"/>
  <c r="L95" i="5"/>
  <c r="L96" i="5"/>
  <c r="L98" i="5"/>
  <c r="L94" i="5"/>
  <c r="K228" i="5"/>
  <c r="J71" i="5"/>
  <c r="M69" i="5"/>
  <c r="O69" i="5"/>
  <c r="J70" i="5"/>
  <c r="K70" i="5"/>
  <c r="M71" i="5"/>
  <c r="L70" i="5"/>
  <c r="L71" i="5"/>
  <c r="K71" i="5"/>
  <c r="N69" i="5"/>
  <c r="K69" i="5"/>
  <c r="N71" i="5"/>
  <c r="O71" i="5"/>
  <c r="N70" i="5"/>
  <c r="M70" i="5"/>
  <c r="O70" i="5"/>
  <c r="K197" i="5"/>
  <c r="K195" i="5"/>
  <c r="K130" i="5"/>
  <c r="K129" i="5"/>
  <c r="K131" i="5"/>
  <c r="M189" i="10"/>
  <c r="J46" i="5" l="1"/>
  <c r="L97" i="5"/>
  <c r="H280" i="11"/>
  <c r="L280" i="11" s="1"/>
  <c r="H115" i="11"/>
  <c r="L115" i="11" s="1"/>
  <c r="H16" i="10"/>
  <c r="L16" i="10" s="1"/>
  <c r="H144" i="10"/>
  <c r="L144" i="10" s="1"/>
  <c r="H43" i="11"/>
  <c r="L43" i="11" s="1"/>
  <c r="H73" i="11"/>
  <c r="L73" i="11" s="1"/>
  <c r="H196" i="4"/>
  <c r="L196" i="4" s="1"/>
  <c r="H185" i="7"/>
  <c r="L185" i="7" s="1"/>
  <c r="H196" i="8"/>
  <c r="L196" i="8" s="1"/>
  <c r="H169" i="4"/>
  <c r="L169" i="4" s="1"/>
  <c r="H274" i="11"/>
  <c r="L274" i="11" s="1"/>
  <c r="H299" i="10"/>
  <c r="L299" i="10" s="1"/>
  <c r="H353" i="4"/>
  <c r="L353" i="4" s="1"/>
  <c r="H337" i="7"/>
  <c r="L337" i="7" s="1"/>
  <c r="H348" i="4"/>
  <c r="L348" i="4" s="1"/>
  <c r="H68" i="11"/>
  <c r="L68" i="11" s="1"/>
  <c r="H132" i="9"/>
  <c r="L132" i="9" s="1"/>
  <c r="H158" i="9"/>
  <c r="L158" i="9" s="1"/>
  <c r="H38" i="11"/>
  <c r="L38" i="11" s="1"/>
  <c r="H34" i="7"/>
  <c r="L34" i="7" s="1"/>
  <c r="H158" i="8"/>
  <c r="L158" i="8" s="1"/>
  <c r="H98" i="7"/>
  <c r="L98" i="7" s="1"/>
  <c r="H36" i="4"/>
  <c r="L36" i="4" s="1"/>
  <c r="H56" i="7"/>
  <c r="L56" i="7" s="1"/>
  <c r="H132" i="4"/>
  <c r="L132" i="4" s="1"/>
  <c r="H106" i="8"/>
  <c r="L106" i="8" s="1"/>
  <c r="H123" i="7"/>
  <c r="L123" i="7" s="1"/>
  <c r="H132" i="8"/>
  <c r="L132" i="8" s="1"/>
  <c r="H252" i="11"/>
  <c r="L252" i="11" s="1"/>
  <c r="H282" i="9"/>
  <c r="L282" i="9" s="1"/>
  <c r="H270" i="7"/>
  <c r="L270" i="7" s="1"/>
  <c r="H254" i="9"/>
  <c r="L254" i="9" s="1"/>
  <c r="H196" i="9"/>
  <c r="L196" i="9" s="1"/>
  <c r="H95" i="9"/>
  <c r="L95" i="9" s="1"/>
  <c r="H169" i="9"/>
  <c r="L169" i="9" s="1"/>
  <c r="H114" i="10"/>
  <c r="L114" i="10" s="1"/>
  <c r="H45" i="7"/>
  <c r="L45" i="7" s="1"/>
  <c r="H323" i="4"/>
  <c r="L323" i="4" s="1"/>
  <c r="H239" i="11"/>
  <c r="L239" i="11" s="1"/>
  <c r="H225" i="11"/>
  <c r="L225" i="11" s="1"/>
  <c r="H284" i="7"/>
  <c r="L284" i="7" s="1"/>
  <c r="H267" i="8"/>
  <c r="L267" i="8" s="1"/>
  <c r="H310" i="9"/>
  <c r="L310" i="9" s="1"/>
  <c r="H204" i="10"/>
  <c r="L204" i="10" s="1"/>
  <c r="H256" i="7"/>
  <c r="L256" i="7" s="1"/>
  <c r="H67" i="7"/>
  <c r="L67" i="7" s="1"/>
  <c r="H323" i="8"/>
  <c r="L323" i="8" s="1"/>
  <c r="H169" i="11"/>
  <c r="L169" i="11" s="1"/>
  <c r="H232" i="10"/>
  <c r="L232" i="10" s="1"/>
  <c r="H296" i="9"/>
  <c r="L296" i="9" s="1"/>
  <c r="H309" i="8"/>
  <c r="L309" i="8" s="1"/>
  <c r="H22" i="11"/>
  <c r="L22" i="11" s="1"/>
  <c r="H84" i="11"/>
  <c r="L84" i="11" s="1"/>
  <c r="H89" i="10"/>
  <c r="L89" i="10" s="1"/>
  <c r="H135" i="11"/>
  <c r="L135" i="11" s="1"/>
  <c r="H104" i="11"/>
  <c r="L104" i="11" s="1"/>
  <c r="H353" i="8"/>
  <c r="L353" i="8" s="1"/>
  <c r="H169" i="8"/>
  <c r="L169" i="8" s="1"/>
  <c r="H159" i="7"/>
  <c r="L159" i="7" s="1"/>
  <c r="H358" i="8"/>
  <c r="L358" i="8" s="1"/>
  <c r="H348" i="8"/>
  <c r="L348" i="8" s="1"/>
  <c r="H279" i="11"/>
  <c r="L279" i="11" s="1"/>
  <c r="H358" i="4"/>
  <c r="L358" i="4" s="1"/>
  <c r="H349" i="9"/>
  <c r="L349" i="9" s="1"/>
  <c r="H16" i="11"/>
  <c r="L16" i="11" s="1"/>
  <c r="H21" i="11"/>
  <c r="L21" i="11" s="1"/>
  <c r="H83" i="9"/>
  <c r="L83" i="9" s="1"/>
  <c r="H60" i="9"/>
  <c r="L60" i="9" s="1"/>
  <c r="H106" i="9"/>
  <c r="L106" i="9" s="1"/>
  <c r="H36" i="9"/>
  <c r="L36" i="9" s="1"/>
  <c r="H77" i="7"/>
  <c r="L77" i="7" s="1"/>
  <c r="H212" i="8"/>
  <c r="L212" i="8" s="1"/>
  <c r="H84" i="8"/>
  <c r="L84" i="8" s="1"/>
  <c r="H148" i="7"/>
  <c r="L148" i="7" s="1"/>
  <c r="H60" i="4"/>
  <c r="L60" i="4" s="1"/>
  <c r="H19" i="9"/>
  <c r="L19" i="9" s="1"/>
  <c r="H158" i="4"/>
  <c r="L158" i="4" s="1"/>
  <c r="H106" i="4"/>
  <c r="L106" i="4" s="1"/>
  <c r="H83" i="4"/>
  <c r="L83" i="4" s="1"/>
  <c r="H62" i="8"/>
  <c r="L62" i="8" s="1"/>
  <c r="H183" i="11"/>
  <c r="L183" i="11" s="1"/>
  <c r="H268" i="9"/>
  <c r="L268" i="9" s="1"/>
  <c r="H274" i="10"/>
  <c r="L274" i="10" s="1"/>
  <c r="H72" i="9"/>
  <c r="L72" i="9" s="1"/>
  <c r="H48" i="9"/>
  <c r="L48" i="9" s="1"/>
  <c r="H117" i="9"/>
  <c r="L117" i="9" s="1"/>
  <c r="H40" i="10"/>
  <c r="L40" i="10" s="1"/>
  <c r="H88" i="7"/>
  <c r="L88" i="7" s="1"/>
  <c r="H338" i="9"/>
  <c r="L338" i="9" s="1"/>
  <c r="L341" i="9" s="1"/>
  <c r="H309" i="4"/>
  <c r="L309" i="4" s="1"/>
  <c r="H312" i="7"/>
  <c r="L312" i="7" s="1"/>
  <c r="H218" i="10"/>
  <c r="L218" i="10" s="1"/>
  <c r="H281" i="8"/>
  <c r="L281" i="8" s="1"/>
  <c r="H298" i="7"/>
  <c r="L298" i="7" s="1"/>
  <c r="H324" i="9"/>
  <c r="L324" i="9" s="1"/>
  <c r="H260" i="10"/>
  <c r="L260" i="10" s="1"/>
  <c r="H281" i="4"/>
  <c r="L281" i="4" s="1"/>
  <c r="H295" i="4"/>
  <c r="L295" i="4" s="1"/>
  <c r="H197" i="11"/>
  <c r="L197" i="11" s="1"/>
  <c r="H211" i="11"/>
  <c r="L211" i="11" s="1"/>
  <c r="H246" i="10"/>
  <c r="L246" i="10" s="1"/>
  <c r="H295" i="8"/>
  <c r="L295" i="8" s="1"/>
  <c r="H267" i="4"/>
  <c r="L267" i="4" s="1"/>
  <c r="H253" i="4"/>
  <c r="L253" i="4" s="1"/>
  <c r="H117" i="4"/>
  <c r="L117" i="4" s="1"/>
  <c r="H19" i="4"/>
  <c r="L19" i="4" s="1"/>
  <c r="H95" i="4"/>
  <c r="L95" i="4" s="1"/>
  <c r="H117" i="8"/>
  <c r="L117" i="8" s="1"/>
  <c r="H109" i="7"/>
  <c r="L109" i="7" s="1"/>
  <c r="H19" i="7"/>
  <c r="L19" i="7" s="1"/>
  <c r="H96" i="8"/>
  <c r="L96" i="8" s="1"/>
  <c r="H337" i="4"/>
  <c r="L337" i="4" s="1"/>
  <c r="L340" i="4" s="1"/>
  <c r="H337" i="8"/>
  <c r="L337" i="8" s="1"/>
  <c r="L340" i="8" s="1"/>
  <c r="P37" i="5" s="1"/>
  <c r="P48" i="5" s="1"/>
  <c r="H190" i="10"/>
  <c r="L190" i="10" s="1"/>
  <c r="H26" i="8"/>
  <c r="L26" i="8" s="1"/>
  <c r="H72" i="4"/>
  <c r="L72" i="4" s="1"/>
  <c r="H48" i="4"/>
  <c r="L48" i="4" s="1"/>
  <c r="H24" i="4"/>
  <c r="L24" i="4" s="1"/>
  <c r="H24" i="9"/>
  <c r="L24" i="9" s="1"/>
  <c r="H326" i="7"/>
  <c r="L326" i="7" s="1"/>
  <c r="L329" i="7" s="1"/>
  <c r="H228" i="7"/>
  <c r="L228" i="7" s="1"/>
  <c r="H239" i="8"/>
  <c r="L239" i="8" s="1"/>
  <c r="H343" i="4"/>
  <c r="L343" i="4" s="1"/>
  <c r="H21" i="8"/>
  <c r="L21" i="8" s="1"/>
  <c r="H74" i="8"/>
  <c r="L74" i="8" s="1"/>
  <c r="H239" i="4"/>
  <c r="L239" i="4" s="1"/>
  <c r="H270" i="11"/>
  <c r="L270" i="11" s="1"/>
  <c r="H12" i="10"/>
  <c r="L12" i="10" s="1"/>
  <c r="L15" i="10" s="1"/>
  <c r="H343" i="8"/>
  <c r="L343" i="8" s="1"/>
  <c r="H64" i="10"/>
  <c r="L64" i="10" s="1"/>
  <c r="H266" i="11"/>
  <c r="L266" i="11" s="1"/>
  <c r="L269" i="11" s="1"/>
  <c r="H294" i="10"/>
  <c r="L294" i="10" s="1"/>
  <c r="H38" i="8"/>
  <c r="L38" i="8" s="1"/>
  <c r="H253" i="8"/>
  <c r="L253" i="8" s="1"/>
  <c r="H155" i="11"/>
  <c r="L155" i="11" s="1"/>
  <c r="H240" i="9"/>
  <c r="L240" i="9" s="1"/>
  <c r="H23" i="7"/>
  <c r="L23" i="7" s="1"/>
  <c r="H332" i="7"/>
  <c r="L332" i="7" s="1"/>
  <c r="H17" i="7"/>
  <c r="L17" i="7" s="1"/>
  <c r="H17" i="4"/>
  <c r="L17" i="4" s="1"/>
  <c r="H17" i="9"/>
  <c r="L17" i="9" s="1"/>
  <c r="H17" i="8"/>
  <c r="L17" i="8" s="1"/>
  <c r="H13" i="11"/>
  <c r="L13" i="11" s="1"/>
  <c r="H242" i="7"/>
  <c r="L242" i="7" s="1"/>
  <c r="H50" i="8"/>
  <c r="L50" i="8" s="1"/>
  <c r="H344" i="9"/>
  <c r="L344" i="9" s="1"/>
  <c r="H288" i="10"/>
  <c r="L288" i="10" s="1"/>
  <c r="H24" i="11"/>
  <c r="L24" i="11" s="1"/>
  <c r="M341" i="9" l="1"/>
  <c r="L291" i="10"/>
  <c r="J37" i="5" s="1"/>
  <c r="J48" i="5" s="1"/>
  <c r="L23" i="11"/>
  <c r="M23" i="11" s="1"/>
  <c r="L265" i="11"/>
  <c r="L36" i="5" s="1"/>
  <c r="L47" i="5" s="1"/>
  <c r="L22" i="4"/>
  <c r="O33" i="5" s="1"/>
  <c r="O44" i="5" s="1"/>
  <c r="L22" i="9"/>
  <c r="M22" i="9" s="1"/>
  <c r="L24" i="8"/>
  <c r="M24" i="8" s="1"/>
  <c r="L22" i="7"/>
  <c r="M22" i="7" s="1"/>
  <c r="L337" i="9"/>
  <c r="M337" i="9" s="1"/>
  <c r="O37" i="5"/>
  <c r="O48" i="5" s="1"/>
  <c r="M340" i="4"/>
  <c r="L325" i="7"/>
  <c r="N36" i="5" s="1"/>
  <c r="N47" i="5" s="1"/>
  <c r="L146" i="11"/>
  <c r="L211" i="7"/>
  <c r="M211" i="7" s="1"/>
  <c r="L336" i="4"/>
  <c r="M336" i="4" s="1"/>
  <c r="L174" i="10"/>
  <c r="M174" i="10" s="1"/>
  <c r="J33" i="5"/>
  <c r="M15" i="10"/>
  <c r="M269" i="11"/>
  <c r="L37" i="5"/>
  <c r="L48" i="5" s="1"/>
  <c r="M329" i="7"/>
  <c r="N37" i="5"/>
  <c r="N48" i="5" s="1"/>
  <c r="L336" i="8"/>
  <c r="M37" i="5"/>
  <c r="M48" i="5" s="1"/>
  <c r="M340" i="8"/>
  <c r="L223" i="9"/>
  <c r="L223" i="4"/>
  <c r="L223" i="8"/>
  <c r="L287" i="10"/>
  <c r="M291" i="10" l="1"/>
  <c r="L350" i="9"/>
  <c r="M36" i="5"/>
  <c r="M47" i="5" s="1"/>
  <c r="M265" i="11"/>
  <c r="L359" i="4"/>
  <c r="L282" i="11"/>
  <c r="M22" i="4"/>
  <c r="M33" i="5"/>
  <c r="M44" i="5" s="1"/>
  <c r="N33" i="5"/>
  <c r="N44" i="5" s="1"/>
  <c r="P33" i="5"/>
  <c r="P44" i="5" s="1"/>
  <c r="M325" i="7"/>
  <c r="O36" i="5"/>
  <c r="O47" i="5" s="1"/>
  <c r="M146" i="11"/>
  <c r="J34" i="5"/>
  <c r="J45" i="5" s="1"/>
  <c r="L33" i="5"/>
  <c r="L44" i="5" s="1"/>
  <c r="N34" i="5"/>
  <c r="N45" i="5" s="1"/>
  <c r="L338" i="7"/>
  <c r="L283" i="11"/>
  <c r="L272" i="11"/>
  <c r="K37" i="5"/>
  <c r="K48" i="5" s="1"/>
  <c r="L34" i="5"/>
  <c r="M223" i="8"/>
  <c r="P34" i="5"/>
  <c r="P45" i="5" s="1"/>
  <c r="J44" i="5"/>
  <c r="M223" i="4"/>
  <c r="O34" i="5"/>
  <c r="O45" i="5" s="1"/>
  <c r="M336" i="8"/>
  <c r="P36" i="5"/>
  <c r="P47" i="5" s="1"/>
  <c r="L349" i="4"/>
  <c r="L359" i="8"/>
  <c r="M287" i="10"/>
  <c r="L300" i="10"/>
  <c r="L301" i="10" s="1"/>
  <c r="J36" i="5"/>
  <c r="M223" i="9"/>
  <c r="M34" i="5"/>
  <c r="M45" i="5" s="1"/>
  <c r="L349" i="8"/>
  <c r="L45" i="5" l="1"/>
  <c r="K33" i="5"/>
  <c r="K44" i="5" s="1"/>
  <c r="K34" i="5"/>
  <c r="K45" i="5" s="1"/>
  <c r="L284" i="11"/>
  <c r="M301" i="10"/>
  <c r="J38" i="5"/>
  <c r="L302" i="10"/>
  <c r="K36" i="5"/>
  <c r="K47" i="5" s="1"/>
  <c r="J47" i="5"/>
  <c r="L38" i="5" l="1"/>
  <c r="L49" i="5" s="1"/>
  <c r="L285" i="11"/>
  <c r="M284" i="11"/>
  <c r="J49" i="5"/>
  <c r="M302" i="10"/>
  <c r="J39" i="5"/>
  <c r="L360" i="8" l="1"/>
  <c r="L360" i="4"/>
  <c r="L350" i="4"/>
  <c r="L339" i="7"/>
  <c r="L340" i="7" s="1"/>
  <c r="N38" i="5" s="1"/>
  <c r="N49" i="5" s="1"/>
  <c r="L350" i="8"/>
  <c r="L351" i="9"/>
  <c r="L352" i="9" s="1"/>
  <c r="K38" i="5"/>
  <c r="K49" i="5" s="1"/>
  <c r="M285" i="11"/>
  <c r="L39" i="5"/>
  <c r="L50" i="5" s="1"/>
  <c r="J50" i="5"/>
  <c r="L361" i="4" l="1"/>
  <c r="O38" i="5" s="1"/>
  <c r="O49" i="5" s="1"/>
  <c r="M340" i="7"/>
  <c r="L341" i="7"/>
  <c r="L361" i="8"/>
  <c r="M361" i="8" s="1"/>
  <c r="M38" i="5"/>
  <c r="M49" i="5" s="1"/>
  <c r="L353" i="9"/>
  <c r="M352" i="9"/>
  <c r="K39" i="5"/>
  <c r="K50" i="5" l="1"/>
  <c r="L362" i="4"/>
  <c r="M361" i="4"/>
  <c r="L362" i="8"/>
  <c r="P38" i="5"/>
  <c r="P49" i="5" s="1"/>
  <c r="N39" i="5"/>
  <c r="M341" i="7"/>
  <c r="M353" i="9"/>
  <c r="M39" i="5"/>
  <c r="P39" i="5" l="1"/>
  <c r="P50" i="5" s="1"/>
  <c r="M362" i="8"/>
  <c r="M362" i="4"/>
  <c r="G4" i="4" s="1"/>
  <c r="O39" i="5"/>
  <c r="N50" i="5"/>
  <c r="M50" i="5"/>
  <c r="O50"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tc={2165476C-8FD9-4494-B4EA-79B87931890B}</author>
  </authors>
  <commentList>
    <comment ref="J27" authorId="0" shapeId="0" xr:uid="{E903184C-C341-5548-A570-FA91C4CD5B9B}">
      <text>
        <t>[Threaded comment]
Your version of Excel allows you to read this threaded comment; however, any edits to it will get removed if the file is opened in a newer version of Excel. Learn more: https://go.microsoft.com/fwlink/?linkid=870924
Comment:
    label printer - can be updated with proposed schedule (e.g. aim to test X per day, so need X label printer)</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tc={2165476C-8FD9-4493-B4EA-79B87931890B}</author>
  </authors>
  <commentList>
    <comment ref="J27" authorId="0" shapeId="0" xr:uid="{2165476C-8FD9-4493-B4EA-79B87931890B}">
      <text>
        <t>[Threaded comment]
Your version of Excel allows you to read this threaded comment; however, any edits to it will get removed if the file is opened in a newer version of Excel. Learn more: https://go.microsoft.com/fwlink/?linkid=870924
Comment:
    label printer - can be updated with proposed schedule (e.g. aim to test X per day, so need X label printer)</t>
      </text>
    </comment>
  </commentList>
</comments>
</file>

<file path=xl/sharedStrings.xml><?xml version="1.0" encoding="utf-8"?>
<sst xmlns="http://schemas.openxmlformats.org/spreadsheetml/2006/main" count="6432" uniqueCount="607">
  <si>
    <t>Step</t>
  </si>
  <si>
    <t>Module</t>
  </si>
  <si>
    <t>Patient Identification + Scheduling</t>
  </si>
  <si>
    <t>Cost for 100 People - Urban</t>
  </si>
  <si>
    <t>Proportion of People in Subsequent Steps</t>
  </si>
  <si>
    <t>Proportion of People in Module</t>
  </si>
  <si>
    <t>auxiliary nurses</t>
  </si>
  <si>
    <t>TOTAL WEIGHTED COST</t>
  </si>
  <si>
    <t>surgical masks</t>
  </si>
  <si>
    <t>face shields</t>
  </si>
  <si>
    <t>gowns</t>
  </si>
  <si>
    <t>NP swabs &amp; tube</t>
  </si>
  <si>
    <t>security staff</t>
  </si>
  <si>
    <t>paramedics</t>
  </si>
  <si>
    <t>clerical worker</t>
  </si>
  <si>
    <t>Patient Symptom/ Exposure Information Collection + Taking the samples</t>
  </si>
  <si>
    <t>pair of gloves</t>
  </si>
  <si>
    <t>nurse</t>
  </si>
  <si>
    <t>Test Transport to the Lab</t>
  </si>
  <si>
    <t>Resource Needs</t>
  </si>
  <si>
    <t>Number Needed for 100 people tested</t>
  </si>
  <si>
    <t>transport attendant</t>
  </si>
  <si>
    <t>gas (per km)</t>
  </si>
  <si>
    <t>biohazard bag</t>
  </si>
  <si>
    <t>cooler</t>
  </si>
  <si>
    <t xml:space="preserve">Laboratory Analysis (PCR) </t>
  </si>
  <si>
    <t>Communication of Results</t>
  </si>
  <si>
    <t>lab technicians</t>
  </si>
  <si>
    <t>extraction reagents</t>
  </si>
  <si>
    <t>amplification reagents</t>
  </si>
  <si>
    <t>no cost for negatives</t>
  </si>
  <si>
    <t>chief tech</t>
  </si>
  <si>
    <t>tech coordinator</t>
  </si>
  <si>
    <t>assistant chief tech</t>
  </si>
  <si>
    <t>molecular virologist</t>
  </si>
  <si>
    <t>Percent positives</t>
  </si>
  <si>
    <t>NOTES</t>
  </si>
  <si>
    <t>Unit Cost/Hourly Wage</t>
  </si>
  <si>
    <t>no scheduling costs</t>
  </si>
  <si>
    <t xml:space="preserve">Modules: </t>
  </si>
  <si>
    <t>nursing manager</t>
  </si>
  <si>
    <t>N95 masks</t>
  </si>
  <si>
    <t>Hours Worked (=1 for material costs)</t>
  </si>
  <si>
    <t>Number of People Tested per day</t>
  </si>
  <si>
    <t>Number of drive-thru centres needed</t>
  </si>
  <si>
    <t>Numberof ambulatory centres needed</t>
  </si>
  <si>
    <t>People to be tested per day</t>
  </si>
  <si>
    <t>1 cooler for 50 samples, can be used 100 times</t>
  </si>
  <si>
    <t>3 mins per sample, 5 hrs for 100 samples</t>
  </si>
  <si>
    <t xml:space="preserve">1 hr for 47 samples, 2.13 hrs for 100 samples </t>
  </si>
  <si>
    <t>1 min per sample, 1.67 hrs for 100 samples</t>
  </si>
  <si>
    <t>1 &amp; 2</t>
  </si>
  <si>
    <t xml:space="preserve">1 &amp; 2 </t>
  </si>
  <si>
    <t>TOTAL COST PER</t>
  </si>
  <si>
    <t>PEOPLE TESTED</t>
  </si>
  <si>
    <t>10 min call = 48 per day by 1 nurse = 100 calls by 2.08 nurses</t>
  </si>
  <si>
    <t>Capital costs to consider</t>
  </si>
  <si>
    <t>Step 1:</t>
  </si>
  <si>
    <t>Computers</t>
  </si>
  <si>
    <t>Office Space</t>
  </si>
  <si>
    <t>Step 2:</t>
  </si>
  <si>
    <t>Software</t>
  </si>
  <si>
    <t>Tents, and associated equipment</t>
  </si>
  <si>
    <t>Drive thru temporary facilities</t>
  </si>
  <si>
    <t>Space for location</t>
  </si>
  <si>
    <t>Step 3:</t>
  </si>
  <si>
    <t>Additional vehicles</t>
  </si>
  <si>
    <t>Communication devices</t>
  </si>
  <si>
    <t>Step 4:</t>
  </si>
  <si>
    <t>Lab equipment (PCR machine)</t>
  </si>
  <si>
    <t>Lab space</t>
  </si>
  <si>
    <t>Step 5:</t>
  </si>
  <si>
    <t>Step 6:</t>
  </si>
  <si>
    <t>Plexiglass barriers</t>
  </si>
  <si>
    <t>Note that Montreal can screen 400 in 6 hours. Korea could screen 100 in a day in 8 hours, with 2 nurses and 2 clerical. To scale to reach 400, we need to quadruple the staff (8 nurses, 8 clerical) as well as increase based on the shorter day, which equals to 10.67 nurses and clerical per 400 patients. Per 100 patients = 2.65.</t>
  </si>
  <si>
    <t>the changing needs of staff, plus needs of 100 pairs of gloves per 100 patients seen by nurse.</t>
  </si>
  <si>
    <t>gowns assumed to be changed for each patient</t>
  </si>
  <si>
    <t>2 mins per negative sample, so 200 minutes per 100 samples. Weighted by expected negatives.</t>
  </si>
  <si>
    <t>5 mins per positive sample, 8.33 hrs for 100 samples. Weighted by expected positives</t>
  </si>
  <si>
    <t>1 min admin  = 480 admin mins by a clerk per day, therefore 1/5 of that time by a nurse</t>
  </si>
  <si>
    <t>STRATEGY 2: EXPANDED CONTACT INVESTIGATION (URBAN)</t>
  </si>
  <si>
    <t>Cost per 100 people</t>
  </si>
  <si>
    <t>STRATEGY 1: CURRENT STRATEGY (URBAN)</t>
  </si>
  <si>
    <t>Current Estimated Burden</t>
  </si>
  <si>
    <t>Contacts Per Case</t>
  </si>
  <si>
    <t>Number of People Total</t>
  </si>
  <si>
    <t>*recall if no show*</t>
  </si>
  <si>
    <t>Module 1: Simple Conatact (no symptoms)
Module 2: Complicated Contact (symptoms)</t>
  </si>
  <si>
    <t>STRATEGY 3: TESTING ALL HEALTH CARE PERSONNEL (URBAN)</t>
  </si>
  <si>
    <t>People to be tested</t>
  </si>
  <si>
    <t>6 mins per person = 80 HCW sampled by 1 nurse in 1 day = 100 HCW sampled by 1.25 nurses</t>
  </si>
  <si>
    <t>7 mins per person = 68 HCW screened by 1 clerical worker in 1 day = 100 HCW screened by 1.46 clerical workers</t>
  </si>
  <si>
    <t>No new equipment</t>
  </si>
  <si>
    <t>No new space needed</t>
  </si>
  <si>
    <t>Lab staff</t>
  </si>
  <si>
    <t>Lab staff training</t>
  </si>
  <si>
    <t>20 min call = 24 per day by 1 nurse = 100 calls by 4.16 nurses</t>
  </si>
  <si>
    <t>Cuts clerical time by half compared to those who don't use the app</t>
  </si>
  <si>
    <t>Contacts per case (work)</t>
  </si>
  <si>
    <t>Contacts per case (non-work)</t>
  </si>
  <si>
    <t>Vary</t>
  </si>
  <si>
    <t>assume 5 minutes per contact and so 1 clerical worker can schedule 100 contacts a day.</t>
  </si>
  <si>
    <t>Module 1: Drive thru centre</t>
  </si>
  <si>
    <t>Module 1: Small test centre</t>
  </si>
  <si>
    <t>Module 2: Large Test Centre</t>
  </si>
  <si>
    <t>1 min admin  = 480 admin mins by a clerk per day, therefore 1/5 of that time by a nurse. In this scenario, all negatives receive a 3 minute call to schedule a follow-up test as well</t>
  </si>
  <si>
    <t>Additional Contact Investigated (Carry-over)</t>
  </si>
  <si>
    <t>Repeat Process</t>
  </si>
  <si>
    <t>an additional test is scheduled for 10 people (contacts) who are test positive</t>
  </si>
  <si>
    <t>repeat testing for work colleagues</t>
  </si>
  <si>
    <t>10 non-work contacts - using the costs of expanded contact investigation for 10 contacts - but don't assume deeper level of testing as this will have already been implemented - hence divided by 2</t>
  </si>
  <si>
    <t>http://imt.emploiquebec.gouv.qc.ca/mtg/inter/noncache/contenu/asp/mtg122_sommprofs_01.asp?aprof=1414&amp;PT4=53&amp;lang=ANGL&amp;Porte=1&amp;cregncmp1=QC&amp;ssai=0&amp;motpro=reception&amp;pro=1414&amp;PT2=21&amp;cregn=QC&amp;PT1=25&amp;type=01&amp;PT3=10</t>
  </si>
  <si>
    <t>http://www.fiqsante.qc.ca/wp-content/uploads/2016/10/Echelles_salariales_Web_2016-2020_FR.pdf?download=1</t>
  </si>
  <si>
    <t>http://imt.emploiquebec.gouv.qc.ca/mtg/inter/noncache/contenu/asp/mtg122_sommprofs_01.asp?aprof=6541&amp;PT4=53&amp;motpro=security&amp;lang=ANGL&amp;Porte=1&amp;cregncmp1=QC&amp;ssai=0&amp;pro=6541&amp;PT2=21&amp;cregn=QC&amp;PT1=25&amp;type=01&amp;PT3=10</t>
  </si>
  <si>
    <t xml:space="preserve">http://imt.emploiquebec.gouv.qc.ca/mtg/inter/noncache/contenu/asp/mtg122_sommprofs_01.asp?aprof=3234&amp;PT4=53&amp;lang=ANGL&amp;Porte=1&amp;cregncmp1=QC&amp;ssai=0&amp;motpro=paramedic&amp;pro=3234&amp;PT2=21&amp;cregn=QC&amp;PT1=25&amp;type=01&amp;PT3=10 </t>
  </si>
  <si>
    <t xml:space="preserve">https://www.stat.gouv.qc.ca/statistiques/travail-remuneration/remuneration-globale/globale-salaires/emplois-reperes/305empl_an.htm </t>
  </si>
  <si>
    <t>https://www.grainger.ca/en/product/EAR-LOOP-MASK-BLUE%2CPK-50/p/WWG9E274</t>
  </si>
  <si>
    <t>https://www.canadiansafetysupplies.com/N95-Particulate-Respirator-3M-p/8511.htm</t>
  </si>
  <si>
    <t>https://www.homedepot.com/p/3M-Clear-Professional-Face-Shield-90028-80025/202195394</t>
  </si>
  <si>
    <t>https://www.canadiantire.ca/en/pdp/frank-disposable-vinyl-nitrile-gloves-50-pk-0428456p.html#srp</t>
  </si>
  <si>
    <t>See above</t>
  </si>
  <si>
    <t>clerical worker changes 4 times per day</t>
  </si>
  <si>
    <t>nurses and lab techs change 4 times per day</t>
  </si>
  <si>
    <t>clerical worker and lab techs change 4 times per day, nurse changes after each patient</t>
  </si>
  <si>
    <t>lab techs change 4 times per day, nurse changes after each patient</t>
  </si>
  <si>
    <t>SOURCE FOR COST</t>
  </si>
  <si>
    <t>clerical worker and auxiliary nurse change 4 times per day</t>
  </si>
  <si>
    <t>clerical worker, auxiliary nurse and lab techs change 4 times per day, nurse changes after each patient</t>
  </si>
  <si>
    <t>http://imt.emploiquebec.gouv.qc.ca/mtg/inter/noncache/contenu/asp/mtg122_sommprofs_01.asp?aprof=3414&amp;PT4=53&amp;lang=ANGL&amp;Porte=1&amp;cregncmp1=QC&amp;ssai=0&amp;motpro=transport+attendant&amp;pro=3414&amp;PT2=21&amp;cregn=QC&amp;PT1=25&amp;type=01&amp;PT3=10#ListeFonctPrinc</t>
  </si>
  <si>
    <t>(1) https://www.caaquebec.com/en/on-the-road/public-interest/gasoline-matters/gasoline-watch/ (2) https://www.cer-rec.gc.ca/nrg/ntgrtd/mrkt/snpsht/2019/07-05hwdscndrnk-eng.html</t>
  </si>
  <si>
    <t xml:space="preserve">(1) https://ciusss-centresudmtl.gouv.qc.ca/actualite/covid-19-ouverture-dune-clinique-de-depistage-sans-rendez-vous-pour-augmenter-le-nombre-de-depistages, (2) http://imt.emploiquebec.gouv.qc.ca/mtg/inter/noncache/contenu/asp/mtg122_sommprofs_01.asp?aprof=1414&amp;PT4=53&amp;lang=ANGL&amp;Porte=1&amp;cregncmp1=QC&amp;ssai=0&amp;motpro=reception&amp;pro=1414&amp;PT2=21&amp;cregn=QC&amp;PT1=25&amp;type=01&amp;PT3=10  </t>
  </si>
  <si>
    <t>https://www.fishersci.ca/shop/products/therapak-corporation-coleman-excursion-handle-coolers-4/22131508</t>
  </si>
  <si>
    <t>https://www.fishersci.ca/shop/products/fisherbrand-biohazard-specimen-transport-bags-10/0180004</t>
  </si>
  <si>
    <t xml:space="preserve">http://imt.emploiquebec.gouv.qc.ca/mtg/inter/noncache/contenu/asp/mtg122_sommprofs_01.asp?aprof=1414&amp;PT4=53&amp;lang=ANGL&amp;Porte=1&amp;cregncmp1=QC&amp;ssai=0&amp;motpro=reception&amp;pro=1414&amp;PT2=21&amp;cregn=QC&amp;PT1=25&amp;type=01&amp;PT3=10  </t>
  </si>
  <si>
    <t xml:space="preserve">https://neuvoo.ca/salary/?job=Laboratory%20Coordinator </t>
  </si>
  <si>
    <t xml:space="preserve">http://imt.emploiquebec.gouv.qc.ca/mtg/inter/noncache/contenu/asp/mtg122_sommprofs_01.asp?aprof=2121&amp;PT4=53&amp;lang=ANGL&amp;Porte=1&amp;cregncmp1=QC&amp;ssai=0&amp;motpro=virologist&amp;pro=2121&amp;PT2=21&amp;cregn=QC&amp;PT1=25&amp;type=01&amp;PT3=10 </t>
  </si>
  <si>
    <t>1 for every 100 lab techs</t>
  </si>
  <si>
    <t>1 for evey 10 lab techs</t>
  </si>
  <si>
    <t>1 for every 33 lab techs</t>
  </si>
  <si>
    <t>2 for every lab tech</t>
  </si>
  <si>
    <t>1 for every lab tech and clerical worker for each batch processed</t>
  </si>
  <si>
    <t>https://www.biobasic.com/96-well-plate-viral-dna-miniprep-kit/</t>
  </si>
  <si>
    <t xml:space="preserve">https://www.biobasic.com/sars-cov-2-covid-19-rt-qpcr-detection-kit/ </t>
  </si>
  <si>
    <t>1 for every 5 clerical workers</t>
  </si>
  <si>
    <t>Transport Medium</t>
  </si>
  <si>
    <t>$552.85 per 500ml &amp; 3ml per tube, therefore 300ml per 100 tubes = 331.71</t>
  </si>
  <si>
    <t>$72.30 for 100 swabs and tubes = 0.72 per tube</t>
  </si>
  <si>
    <t> https://www.labscoop.com/ProductSingleViewMain.aspx?Id=4986778&amp;utm_source=sendgrid.com&amp;utm_medium=email&amp;utm_campaign=website</t>
  </si>
  <si>
    <t>https://www.fishersci.com/shop/products/fisherfinest-transport-swabs-without-medium/1490710?keyword=true</t>
  </si>
  <si>
    <t>1 = appt scheduled, 2 = appt unscheduled</t>
  </si>
  <si>
    <t>Number of drive-thru centres or clinics needed</t>
  </si>
  <si>
    <t>Number of community based centres needed</t>
  </si>
  <si>
    <t>(Drive thru)</t>
  </si>
  <si>
    <t>(Clinic)</t>
  </si>
  <si>
    <t>Visits per day</t>
  </si>
  <si>
    <t>Visits per Day</t>
  </si>
  <si>
    <t>1 pick-ups per centre per day, 36 mins per pick up trip</t>
  </si>
  <si>
    <t>1 pick-ups per centre per day, 32.8 km per pick up trip</t>
  </si>
  <si>
    <t>Van rental</t>
  </si>
  <si>
    <t>There are ~8000 calls to the 1-877 number per day. We know 1/3 of people who go to the unscheduled testing places (e.g. place des arts) are turned away. We assume here 1/2 of people who call are not scheduled (don't meet criteria) so we need 18.8 mins per scheduled appt. We know 157 employees work there. All this together estimates that one employee schedules 25.5 people per day or 3.92 can do 100</t>
  </si>
  <si>
    <t>cost per van is $42.91. For large sites with 4 pickups, an addition 5$ is needed due to mileage.</t>
  </si>
  <si>
    <t>Num Contacts</t>
  </si>
  <si>
    <t>assume that 10% of people need a reminder because they missed their appointment and this takes 5 minutes. No need for nurse on return call.</t>
  </si>
  <si>
    <t>Module 2: Clinic Based</t>
  </si>
  <si>
    <r>
      <t xml:space="preserve">Note that Montreal can screen 400 in 6 hours. Korea could screen 100 in a day in 8 hours, with 2 nurses and 2 clerical. To scale to reach 400, we need to quadruple the staff (8 nurses, 8 clerical) as well as increase based on the shorter day, which equals to 10.67 nurses and clerical per 400 patients. Per 100 patients = 2.65. </t>
    </r>
    <r>
      <rPr>
        <b/>
        <sz val="12"/>
        <color theme="1"/>
        <rFont val="Calibri"/>
        <family val="2"/>
        <scheme val="minor"/>
      </rPr>
      <t>BUT we assume in this step that the 80% of people reaching this step have filled in their info on an app so we only require half the clerical time.</t>
    </r>
  </si>
  <si>
    <r>
      <t xml:space="preserve">Note that Montreal can screen 400 in 6 hours. Korea could screen 100 in a day in 8 hours, with 2 nurses and 2 clerical. To scale to reach 400, we need to quadruple the staff (8 nurses, 8 clerical) as well as increase based on the shorter day, which equals to 10.67 nurses and clerical per 400 patients. Per 100 patients = 2.65. </t>
    </r>
    <r>
      <rPr>
        <b/>
        <sz val="12"/>
        <color theme="1"/>
        <rFont val="Calibri"/>
        <family val="2"/>
        <scheme val="minor"/>
      </rPr>
      <t>This is identical to the current strategy.</t>
    </r>
  </si>
  <si>
    <t>1&amp;2</t>
  </si>
  <si>
    <t>2 pick-ups per centre per day, 36 mins per pick up trip</t>
  </si>
  <si>
    <t>2 pick-ups per centre per day, 32.8 km per pick up trip</t>
  </si>
  <si>
    <t>4 pick-ups per centre per day, 36 mins per pick up trip</t>
  </si>
  <si>
    <t>4 pick-ups per centre per day, 32.8 km per pick up trip</t>
  </si>
  <si>
    <t>5 mins per positive sample, 8.33 hrs for 100 samples. Weighted by expected positives.</t>
  </si>
  <si>
    <t>20% of people need a call again from a nurse due to symptoms, and this is twice as long as the clerical call</t>
  </si>
  <si>
    <t>Acting on Results</t>
  </si>
  <si>
    <t>perform repeat appt</t>
  </si>
  <si>
    <t>assumes all test negative on repeat</t>
  </si>
  <si>
    <t>assume 3 min to reschedule appt (clerical), but 20% have concerns and require nurse call</t>
  </si>
  <si>
    <t>the nurse costs. 10 min call for those who would like a repeat call</t>
  </si>
  <si>
    <t>Not considering the costs of contact investigation of positive contacts</t>
  </si>
  <si>
    <t>COORDINATION</t>
  </si>
  <si>
    <t>public health physician</t>
  </si>
  <si>
    <t>Average Site Size</t>
  </si>
  <si>
    <t>30 minutes per site + 30 minutes per 100 people at each site</t>
  </si>
  <si>
    <t>need 0.5 nurses for every clerical</t>
  </si>
  <si>
    <t>1 = HCW screened at hospital
2=HCW screen like contacts</t>
  </si>
  <si>
    <t>Small Clinic sites</t>
  </si>
  <si>
    <t>Number of sites Total</t>
  </si>
  <si>
    <t>Number of sites without Lab</t>
  </si>
  <si>
    <t>Number of sites needing pickup</t>
  </si>
  <si>
    <t>Module 1: In hospital Lab Tech</t>
  </si>
  <si>
    <t>Module 2: Onsite Pickup</t>
  </si>
  <si>
    <t>Module 3: Small Clinic Pickup</t>
  </si>
  <si>
    <t>No cost onsite</t>
  </si>
  <si>
    <t>no cost</t>
  </si>
  <si>
    <t>every 8 hrs of transport requires one van</t>
  </si>
  <si>
    <t>STRATEGY 4: TESTING ALL ESSENTIAL WORKERS WITH SIGNIFICANT PUBLIC INTERACTION (URBAN)</t>
  </si>
  <si>
    <t>People tested on site</t>
  </si>
  <si>
    <t>on average ~154 people per workplace. With 6 min registration (max) and 6 min nurse time, assume max efficiency is that one person can be tested every 6 mins (after the first) plus 1.5 mins to place labels (so 7.5 mins).</t>
  </si>
  <si>
    <t>on average ~154 people per workplace. With 6 min registration (max) and 6 min nurse time, assume max efficiency is that one person can be tested every 6 mins (after the first) plus 1.5 mins to place labels (so 7.5 mins). Plus 45 mins of travel and setup per workplace.</t>
  </si>
  <si>
    <t>Label Printer</t>
  </si>
  <si>
    <t>Label maker to improve efficiency of nurse</t>
  </si>
  <si>
    <t>https://www.uline.ca/Product/Detail/H-1240/Dymo-Label-Printers-and-Labels/Dymo-Labelwriter-450-Printer?pricode=YD413&amp;gadtype=pla&amp;id=H-1240&amp;gclid=CjwKCAjwssD0BRBIEiwA-JP5rPSh55hNV9NcV_w6RdfAhPS6XUlbx18Tidw-r7Cbir42pcA5ShGZDxoCDxAQAvD_BwE&amp;gclsrc=aw.ds</t>
  </si>
  <si>
    <t>Test Incentive</t>
  </si>
  <si>
    <t>Additional Contact Investigated  - non-work (Carry-over); not considered here</t>
  </si>
  <si>
    <t>Additional Contact Investigated  - non-work (Carry-over); not considered</t>
  </si>
  <si>
    <t>module 1 = big business</t>
  </si>
  <si>
    <t>module 2 = small business</t>
  </si>
  <si>
    <t>10 non-work contacts - using the costs of expanded contact investigation for 10 contacts; not considered for now</t>
  </si>
  <si>
    <t>an additional test is scheduled for 4 people (contacts) who are test positive</t>
  </si>
  <si>
    <t>16 non-work contacts - using the costs of expanded contact investigation for 10 contacts; not considered for now</t>
  </si>
  <si>
    <t>Parameter</t>
  </si>
  <si>
    <t>LOW</t>
  </si>
  <si>
    <t>HIGH</t>
  </si>
  <si>
    <t>Category</t>
  </si>
  <si>
    <t>Personnel hourly wages</t>
  </si>
  <si>
    <t>Current Value</t>
  </si>
  <si>
    <t>BASE CASE</t>
  </si>
  <si>
    <t>Current Strategy</t>
  </si>
  <si>
    <t>Expanded Contact Investigation</t>
  </si>
  <si>
    <t>Testing Essential Workers</t>
  </si>
  <si>
    <t xml:space="preserve">Obtaining patient information, plus biologic samples </t>
  </si>
  <si>
    <t>Shipping samples to laboratory</t>
  </si>
  <si>
    <t>Laboratory analysis</t>
  </si>
  <si>
    <t>Communication of results to individuals</t>
  </si>
  <si>
    <t>Response to test results (isolation, contact investigation)</t>
  </si>
  <si>
    <t>Identification of individuals for testing &amp; scheduling</t>
  </si>
  <si>
    <t>TOTAL COST PER 100 PEOPLE</t>
  </si>
  <si>
    <t>Material costs</t>
  </si>
  <si>
    <t>transport medium</t>
  </si>
  <si>
    <t>van rental</t>
  </si>
  <si>
    <t>HR representative</t>
  </si>
  <si>
    <t>Other</t>
  </si>
  <si>
    <t>% positive: current strategy</t>
  </si>
  <si>
    <t>% positive: expanded CI</t>
  </si>
  <si>
    <t>% positive: testing HCW</t>
  </si>
  <si>
    <t># contacts: current strategy</t>
  </si>
  <si>
    <t># contacts: expanded CI</t>
  </si>
  <si>
    <t># contacts (work): testing HCW</t>
  </si>
  <si>
    <t># contacts (non-work): testing HCW</t>
  </si>
  <si>
    <t>label printer</t>
  </si>
  <si>
    <t>% of people using questionnaire app</t>
  </si>
  <si>
    <t>current testing capacity at clinics</t>
  </si>
  <si>
    <t>% of scheduled people going to drive thru</t>
  </si>
  <si>
    <t>% of scheduled people going to clinic</t>
  </si>
  <si>
    <t>http://imt.emploiquebec.gouv.qc.ca/mtg/inter/noncache/contenu/asp/mtg122_sommprofs_01.asp?aprof=1223&amp;PT4=53&amp;motpro=Human+resources&amp;lang=ANGL&amp;Porte=1&amp;cregncmp1=QC&amp;ssai=0&amp;pro=1223&amp;PT2=21&amp;cregn=QC&amp;PT1=25&amp;type=01&amp;PT3=10</t>
  </si>
  <si>
    <t>1 HR rep for every 5 clerical workers</t>
  </si>
  <si>
    <t>https://www.ramq.gouv.qc.ca/SiteCollectionDocuments/professionnels/manuels/syra/medecins-specialistes/150-facturation-specialistes/manuel-specialistes-remuneration-acte.html</t>
  </si>
  <si>
    <t>RAMQ 00085 "Assessment in occupational medicine or public health and preventive medicine, per quarter of an hour completed"</t>
  </si>
  <si>
    <t>1 = screened at workplace
2= screened like contacts</t>
  </si>
  <si>
    <t>number tested: testing essential</t>
  </si>
  <si>
    <t>1 min per scheduling = 480 HCW scheduled by 1 clerical worker in 1 day = 100 HCW scheduled by 0.21 clerical workers</t>
  </si>
  <si>
    <t>With APP</t>
  </si>
  <si>
    <t>Without APP</t>
  </si>
  <si>
    <t>TOTAL COST FOR ALL PEOPLE</t>
  </si>
  <si>
    <t>Ditto to the principal but assume 4 teachers are included to help, and they do 2 days each (so 8 days total) per school. If 480 students per school need 8/4.8 per 100 = 1.67 teachers</t>
  </si>
  <si>
    <t>To organize information sessions for parents at the school (480 students per school). Project 5 days total of preparation and delivery time for the principal of each school. 5/4.8 = 1.04 days per 100</t>
  </si>
  <si>
    <t>on average ~154 people per workplace. With app, nurse time is cut down from 7.5  mins to 3 mins</t>
  </si>
  <si>
    <t>2a</t>
  </si>
  <si>
    <t>2b</t>
  </si>
  <si>
    <t>Module 2: Scheduled like Contacts, 2a - drive thru, 2b - clinic</t>
  </si>
  <si>
    <t>1 per 1000 people screened</t>
  </si>
  <si>
    <t>number tested: testing LTCF employees</t>
  </si>
  <si>
    <t>number tested: testing all HCW</t>
  </si>
  <si>
    <t>number tested: testing hospital employees</t>
  </si>
  <si>
    <t>number tested: testing LTCF residents</t>
  </si>
  <si>
    <t>Testing Hospital Employees</t>
  </si>
  <si>
    <t>1a</t>
  </si>
  <si>
    <t>1b</t>
  </si>
  <si>
    <t>3 mins per person for collecting sample and labelling = 160 samples per nurse per day = 100 samples per 0.625 nurses</t>
  </si>
  <si>
    <t>6 mins per person for registration = 80 people registered per clerical per day = 100 people registered per 1.25 clericals</t>
  </si>
  <si>
    <t>$186.85 for 100 collection tubes</t>
  </si>
  <si>
    <t>https://www.fishersci.ca/shop/products/sarstedt-salivette-cotton-swab-saliva-collection/50809199</t>
  </si>
  <si>
    <t>deep saliva collection kit</t>
  </si>
  <si>
    <t>DS collection kit</t>
  </si>
  <si>
    <t>3 mins for registration for those using the app</t>
  </si>
  <si>
    <t>% of people getting deep saliva samples</t>
  </si>
  <si>
    <t>Module 1: Testing at Facility, 1a - NP swab, 1b - deep saliva</t>
  </si>
  <si>
    <t>(1) Questionnaire app</t>
  </si>
  <si>
    <t>(2) Deep saliva samples</t>
  </si>
  <si>
    <t>(3) Heat extraction</t>
  </si>
  <si>
    <t>OFF</t>
  </si>
  <si>
    <t>SEROLOGIC TEST</t>
  </si>
  <si>
    <t>Testing LTCF Employees &amp; Residents Too</t>
  </si>
  <si>
    <t>Blood Lancet</t>
  </si>
  <si>
    <t>Test Kit</t>
  </si>
  <si>
    <t>Additional Nurse Time</t>
  </si>
  <si>
    <t>Additional Clerical Time</t>
  </si>
  <si>
    <t>3 min per person or 5hrs per 100 (or 0.63 per full day)</t>
  </si>
  <si>
    <t>from fishersci</t>
  </si>
  <si>
    <t>https://www.fishersci.ca/shop/products/bd-micro-fine-contact-activated-lancet-3/p-3491417#?keyword=blood+lancet</t>
  </si>
  <si>
    <t>assumed test cost</t>
  </si>
  <si>
    <t>Additional Gloves</t>
  </si>
  <si>
    <t>Additional Aux Nurse Time</t>
  </si>
  <si>
    <t>3 mins per person for collecting sample and labelling = 160 samples per nurse per day = 100 samples per 0.625 nurses - BUT rate limiting is clerical so nurse still can only do 80 samples</t>
  </si>
  <si>
    <t>on average ~154 people per workplace. With app, nurse time remains at 7.5 mins so NO SAVINGS as this is till rate limiting step</t>
  </si>
  <si>
    <t>Average Van Rental Time</t>
  </si>
  <si>
    <t>SWITCH</t>
  </si>
  <si>
    <t># of days to extrapolate testing</t>
  </si>
  <si>
    <t>In Montreal, team is made of 35 people in healthcare who can interview 6-10 index cases per day. If we take the average, 1 person can investigate 8 people per day - we need 12.5 to interview 100. We assume the average salary is that of a nurse.</t>
  </si>
  <si>
    <t>At present, Montreal has a team of 20 clerical workers who are following the contacts of the index cases. As 280 cases are reported per day, each clerical worker can investigate the contacts of 14 patients. Assuming 6 minutes per patient and 7hrs in the working day for these folks, they can investigate 5 contacts each. 7.14 clerical workers are required to investigate the contacts of 100 index patients each day.</t>
  </si>
  <si>
    <t>10 senior nurse/nurse managers supervising the team doing the contact tracing and index case work. If 280 index cases investigated per day - require 10/2.8 = 3.57 per 100 index</t>
  </si>
  <si>
    <t xml:space="preserve">Require 2 public health physicians for the oversight team. Thus 2/2.8 per 100 index = </t>
  </si>
  <si>
    <t>Ditto the above - require 2 nurse managers for the oversight team.</t>
  </si>
  <si>
    <t>(4) Improved Information Systems</t>
  </si>
  <si>
    <t>Data entry team for contacts</t>
  </si>
  <si>
    <t>Require 6 data managers per day to manage the clerical data entry team = 6/2.8 = 2.14</t>
  </si>
  <si>
    <t>Require 25 people to enter data as part of the data entry team = 25/2.8 = 8.93</t>
  </si>
  <si>
    <t>as above</t>
  </si>
  <si>
    <t>Require 2 public health physicians for the oversight team. Thus 2/2.8 per 100 index = 0.71</t>
  </si>
  <si>
    <t>At present, Montreal has a team of 20 clerical workers who are following the contacts of the index cases. As 280 cases are reported per day, each clerical worker can investigate the contacts of 14 patients. Assuming 6 minutes per patient and 7hrs in the working day for these folks, they can investigate 5 contacts each. 7.14 clerical workers are required to investigate the contacts of 100 index patients each day. In this scenario - assume we have scaled from 5 contacts investigated to 20 so need 4x as many</t>
  </si>
  <si>
    <t>Require 25 people to enter data as part of the data entry team = 25/2.8 = 8.93. Assume we have scaled contacts investigated. Investigating 280 index cases + 1400 contacts. Assume 5 contacts take the same 'data management' power as 0.5 index cases. Therefore equivalent is time of 420 index cases if 5 contacts per person. If 20 contacts per person, it is like managing double.</t>
  </si>
  <si>
    <t>These are the incremental costs associated with scaling the number of staff needed to trace more contacts than the base case. No change in nurse needs as they are for the index case, but changes for all other staff</t>
  </si>
  <si>
    <t>Additional Resources for scaling contact investigation</t>
  </si>
  <si>
    <t>PCR capacity</t>
  </si>
  <si>
    <t>1hr for 47 samples</t>
  </si>
  <si>
    <t>Information System: Turnaround Time at pickup reduced (50%)</t>
  </si>
  <si>
    <t>Information System: Clerical Time for Scheduling Halved &amp; Communication to Negs Halved</t>
  </si>
  <si>
    <t>Index case and contact discussion time halved</t>
  </si>
  <si>
    <t>Data management team for contacts</t>
  </si>
  <si>
    <t>samples picked up over time… so assume capacity grows to accommodate contacts</t>
  </si>
  <si>
    <t>4 staff per 8 hour day - can do 500 per day, therefore 0.8 required per 100 pts.</t>
  </si>
  <si>
    <t>3 teams: 1 nurse, 1 aux, 1 clerical - can do 500 tests per day. Therefore need 3 of each for 500 or 0.6 of each per 100.</t>
  </si>
  <si>
    <t>2 additional admin agents per day to register people</t>
  </si>
  <si>
    <t>nurse practitioner</t>
  </si>
  <si>
    <t>One per 500 pts</t>
  </si>
  <si>
    <t>custodial staff</t>
  </si>
  <si>
    <t>Four per 500 pts</t>
  </si>
  <si>
    <t>NUMBER OF SAMPLES POOLED</t>
  </si>
  <si>
    <t>SAMPLES POOLED? (1 = yes, 0 = no)</t>
  </si>
  <si>
    <t>Samples Not Pooled</t>
  </si>
  <si>
    <t>Samples Pooled</t>
  </si>
  <si>
    <t>Positive</t>
  </si>
  <si>
    <t>Negative</t>
  </si>
  <si>
    <t>ROUND 1</t>
  </si>
  <si>
    <t>ROUND 2</t>
  </si>
  <si>
    <t>in First</t>
  </si>
  <si>
    <t>in Second</t>
  </si>
  <si>
    <t>MODULE 1</t>
  </si>
  <si>
    <t>MODULE 2</t>
  </si>
  <si>
    <t>Proportion</t>
  </si>
  <si>
    <t>of Pools</t>
  </si>
  <si>
    <t>Round is</t>
  </si>
  <si>
    <r>
      <t xml:space="preserve">3 </t>
    </r>
    <r>
      <rPr>
        <b/>
        <sz val="12"/>
        <color rgb="FFFF0000"/>
        <rFont val="Calibri (Body)_x0000_"/>
      </rPr>
      <t>+ 1</t>
    </r>
    <r>
      <rPr>
        <sz val="12"/>
        <color theme="1"/>
        <rFont val="Calibri"/>
        <family val="2"/>
        <scheme val="minor"/>
      </rPr>
      <t xml:space="preserve"> mins per sample, 6.67 hrs for 100 samples</t>
    </r>
  </si>
  <si>
    <t>Retest All Positives Twice</t>
  </si>
  <si>
    <t>retest all positives twice.</t>
  </si>
  <si>
    <t>No reporting for positives on Round 1</t>
  </si>
  <si>
    <t>Negatives</t>
  </si>
  <si>
    <t>Positives</t>
  </si>
  <si>
    <t>Modules:</t>
  </si>
  <si>
    <t>1 = Samples Not Pooled</t>
  </si>
  <si>
    <t>2 = Samples Pooled</t>
  </si>
  <si>
    <t>incentive value (offsite)</t>
  </si>
  <si>
    <t>incentive value (onsite)</t>
  </si>
  <si>
    <t>data managers</t>
  </si>
  <si>
    <t>social worker</t>
  </si>
  <si>
    <t>40 per 3500 screened</t>
  </si>
  <si>
    <t>14 per 3500 screened</t>
  </si>
  <si>
    <t>10 per 3500 screened</t>
  </si>
  <si>
    <t>3 per 3500 screened</t>
  </si>
  <si>
    <t>20 per 3500 screened</t>
  </si>
  <si>
    <t>2 per 3500 screened</t>
  </si>
  <si>
    <t>1 per 3500 screened</t>
  </si>
  <si>
    <t>40 per 3500 screened, but app available so only need 30.</t>
  </si>
  <si>
    <t>(5) PCR Reagents</t>
  </si>
  <si>
    <t>(6) Sampling Reagents</t>
  </si>
  <si>
    <t>(7) Saline for Transport Media</t>
  </si>
  <si>
    <t>(8) Sampled Pooled</t>
  </si>
  <si>
    <t>(9) Serologic Test Added - POC</t>
  </si>
  <si>
    <t>(10) Serologic Test Added - LFA</t>
  </si>
  <si>
    <t>(11) Serologic Test Added - ELISA</t>
  </si>
  <si>
    <t>serologic test added - POC</t>
  </si>
  <si>
    <t>serologic test added - LFA</t>
  </si>
  <si>
    <t>serologic test added - ELISA</t>
  </si>
  <si>
    <t>POC</t>
  </si>
  <si>
    <t>LFA</t>
  </si>
  <si>
    <t>Capillary Tubes</t>
  </si>
  <si>
    <t>https://www.fishersci.ca/shop/products/bd-microtainer-capillary-blood-collector-bd-microgard-closure-7/1368062</t>
  </si>
  <si>
    <t>$70.51 for a pack of 50 = $1.41 for each capillary tube &amp; container</t>
  </si>
  <si>
    <t>blood lancet</t>
  </si>
  <si>
    <t>capillary tube &amp; container</t>
  </si>
  <si>
    <t>ELISA</t>
  </si>
  <si>
    <t>Phlebotomist</t>
  </si>
  <si>
    <t>Gloves</t>
  </si>
  <si>
    <t>Gowns</t>
  </si>
  <si>
    <t>Face shields</t>
  </si>
  <si>
    <t>change 4 times per day</t>
  </si>
  <si>
    <t>phlebotomist</t>
  </si>
  <si>
    <t>http://imt.emploiquebec.gouv.qc.ca/mtg/inter/noncache/contenu/asp/mtg122_sommprofs_01.asp?aprof=3212&amp;PT4=53&amp;motpro=phlebotomist&amp;lang=ANGL&amp;Porte=1&amp;cregncmp1=QC&amp;ssai=0&amp;pro=3212&amp;PT2=21&amp;cregn=QC&amp;PT1=25&amp;type=01&amp;PT3=10</t>
  </si>
  <si>
    <t>change after each patient</t>
  </si>
  <si>
    <t>Whole blood collection</t>
  </si>
  <si>
    <t>$113.86 for a set of 50 = $2.28 per collection kit</t>
  </si>
  <si>
    <t>https://www.fishersci.ca/shop/products/bd-vacutainer-safety-lok-blood-collection-sets-14/026642</t>
  </si>
  <si>
    <t>Whole blood tube</t>
  </si>
  <si>
    <t>$39.09 for 100 tubes = $0.39 per tube</t>
  </si>
  <si>
    <t>https://www.fishersci.ca/shop/products/bd-vacutainer-venous-blood-collection-tubes-vacutainer-plus-plastic-serum-tubes-silicone-coated-hemogard-closure-4/0268794</t>
  </si>
  <si>
    <t>whole blood collection kit</t>
  </si>
  <si>
    <t>whole blood storage tubes</t>
  </si>
  <si>
    <t>2 = PCR: Samples Pooled</t>
  </si>
  <si>
    <t>1 = PCR: Samples Not Pooled</t>
  </si>
  <si>
    <t xml:space="preserve">3 = LFA </t>
  </si>
  <si>
    <t>4 = ELISA</t>
  </si>
  <si>
    <t>MODULE 3</t>
  </si>
  <si>
    <r>
      <rPr>
        <b/>
        <sz val="12"/>
        <color rgb="FFFF0000"/>
        <rFont val="Calibri (Body)_x0000_"/>
      </rPr>
      <t>PLACEHOLDER:</t>
    </r>
    <r>
      <rPr>
        <sz val="12"/>
        <color theme="1"/>
        <rFont val="Calibri"/>
        <family val="2"/>
        <scheme val="minor"/>
      </rPr>
      <t xml:space="preserve"> 2 mins per sample</t>
    </r>
  </si>
  <si>
    <t>positives go</t>
  </si>
  <si>
    <t>through same</t>
  </si>
  <si>
    <t>process</t>
  </si>
  <si>
    <t>negatives &amp;</t>
  </si>
  <si>
    <t>LFA test kit</t>
  </si>
  <si>
    <r>
      <rPr>
        <b/>
        <sz val="12"/>
        <color rgb="FFFF0000"/>
        <rFont val="Calibri (Body)_x0000_"/>
      </rPr>
      <t>PLACEHOLDER:</t>
    </r>
    <r>
      <rPr>
        <sz val="12"/>
        <color theme="1"/>
        <rFont val="Calibri"/>
        <family val="2"/>
        <scheme val="minor"/>
      </rPr>
      <t xml:space="preserve"> prep time LFA</t>
    </r>
  </si>
  <si>
    <r>
      <rPr>
        <b/>
        <sz val="12"/>
        <color rgb="FFFF0000"/>
        <rFont val="Calibri (Body)_x0000_"/>
      </rPr>
      <t>PLACEHOLDER:</t>
    </r>
    <r>
      <rPr>
        <sz val="12"/>
        <color theme="1"/>
        <rFont val="Calibri"/>
        <family val="2"/>
        <scheme val="minor"/>
      </rPr>
      <t xml:space="preserve"> processing time LFA</t>
    </r>
  </si>
  <si>
    <r>
      <rPr>
        <b/>
        <sz val="12"/>
        <color rgb="FFFF0000"/>
        <rFont val="Calibri (Body)_x0000_"/>
      </rPr>
      <t>PLACEHOLDER:</t>
    </r>
    <r>
      <rPr>
        <sz val="12"/>
        <color theme="1"/>
        <rFont val="Calibri"/>
        <family val="2"/>
        <scheme val="minor"/>
      </rPr>
      <t xml:space="preserve"> reporting time LFT</t>
    </r>
  </si>
  <si>
    <r>
      <rPr>
        <b/>
        <sz val="12"/>
        <color rgb="FFFF0000"/>
        <rFont val="Calibri (Body)_x0000_"/>
      </rPr>
      <t xml:space="preserve">PLACEHOLDER: </t>
    </r>
    <r>
      <rPr>
        <sz val="12"/>
        <rFont val="Calibri (Body)_x0000_"/>
      </rPr>
      <t>2</t>
    </r>
    <r>
      <rPr>
        <sz val="12"/>
        <color theme="1"/>
        <rFont val="Calibri"/>
        <family val="2"/>
        <scheme val="minor"/>
      </rPr>
      <t xml:space="preserve"> mins per sample</t>
    </r>
  </si>
  <si>
    <r>
      <rPr>
        <b/>
        <sz val="12"/>
        <color rgb="FFFF0000"/>
        <rFont val="Calibri (Body)_x0000_"/>
      </rPr>
      <t>PLACEHOLDER:</t>
    </r>
    <r>
      <rPr>
        <sz val="12"/>
        <color theme="1"/>
        <rFont val="Calibri"/>
        <family val="2"/>
        <scheme val="minor"/>
      </rPr>
      <t xml:space="preserve"> 0 mins per sample, put this here in case process isn't fully automated</t>
    </r>
  </si>
  <si>
    <t>MODULE 4</t>
  </si>
  <si>
    <t>ELISA test kit</t>
  </si>
  <si>
    <r>
      <rPr>
        <b/>
        <sz val="12"/>
        <color rgb="FFFF0000"/>
        <rFont val="Calibri (Body)_x0000_"/>
      </rPr>
      <t xml:space="preserve">PLACEHOLDER: </t>
    </r>
    <r>
      <rPr>
        <sz val="12"/>
        <color theme="1"/>
        <rFont val="Calibri"/>
        <family val="2"/>
        <scheme val="minor"/>
      </rPr>
      <t>$10 per sample</t>
    </r>
  </si>
  <si>
    <t>PCR</t>
  </si>
  <si>
    <t>proportion of index cases sampled for CI</t>
  </si>
  <si>
    <t>additional biohazard bag</t>
  </si>
  <si>
    <t>additional cooler</t>
  </si>
  <si>
    <t>6 min per person or 10 hrs pr 100 (or 1.25 per full day) * 8/7</t>
  </si>
  <si>
    <t>% positive: new current strategy</t>
  </si>
  <si>
    <t>number tested (per day): NEW current strategy</t>
  </si>
  <si>
    <t>number index (per day): NEW expanded CI</t>
  </si>
  <si>
    <t>% positve: new expanded CI</t>
  </si>
  <si>
    <t>Percent Positives &amp; Contacts</t>
  </si>
  <si>
    <t>Serology</t>
  </si>
  <si>
    <t>Capacity</t>
  </si>
  <si>
    <t>% of People in Modules</t>
  </si>
  <si>
    <t>Personnel Efficiency</t>
  </si>
  <si>
    <t>perform 2 repeat appts</t>
  </si>
  <si>
    <t>REPEAT TESTS</t>
  </si>
  <si>
    <t>(14) Include repeat testing in NEW expanded CI</t>
  </si>
  <si>
    <t>number tested: testing schoolchildren + school staff</t>
  </si>
  <si>
    <t>(12) Current Strategy Scale-Up to 60000 per day</t>
  </si>
  <si>
    <t>% of people scheduled: current strategy (not NEW current)</t>
  </si>
  <si>
    <t>% of people that go to either a clinic or drive thru instead of large community centre (NEW current strategy)</t>
  </si>
  <si>
    <t>number of assessment centres (clinic &amp; drive-thru)</t>
  </si>
  <si>
    <t>Number of Sites</t>
  </si>
  <si>
    <t>number of hospitals with labs</t>
  </si>
  <si>
    <t>number of hospitals TOTAL</t>
  </si>
  <si>
    <t>number of hospitals with &lt;5 employees</t>
  </si>
  <si>
    <t>number of LTCFs with &lt;5 employees</t>
  </si>
  <si>
    <t>number of essential workplaces TOTAL</t>
  </si>
  <si>
    <t>number of LTCFs TOTAL</t>
  </si>
  <si>
    <t>number of schools TOTAL</t>
  </si>
  <si>
    <t>1 = screened at LTCF
2 = screened like contacts</t>
  </si>
  <si>
    <t>STRATEGY 4: TESTING ALL SCHOOL CHILDREN</t>
  </si>
  <si>
    <t>Personnel Type</t>
  </si>
  <si>
    <t>clinic coordinator</t>
  </si>
  <si>
    <t>senior nurse</t>
  </si>
  <si>
    <t>prep</t>
  </si>
  <si>
    <t>ext + amp</t>
  </si>
  <si>
    <t>results</t>
  </si>
  <si>
    <t>management</t>
  </si>
  <si>
    <t>oversight</t>
  </si>
  <si>
    <t>data entry team</t>
  </si>
  <si>
    <t>clerical backup</t>
  </si>
  <si>
    <t>nurse manager</t>
  </si>
  <si>
    <t>TOTAL WEIGHTED HOURS</t>
  </si>
  <si>
    <t>9 min per person * 8/7</t>
  </si>
  <si>
    <t>30 mins for 96 samples, or 31.25 mins for 100 samples</t>
  </si>
  <si>
    <t>60 mins for 300 samples, or 20 mins for 100 samples</t>
  </si>
  <si>
    <t xml:space="preserve">https://www.thermofisher.com/us/en/home/references/protocols/cell-and-tissue-analysis/elisa-protocol/general-elisa-protocol.html </t>
  </si>
  <si>
    <t xml:space="preserve">https://www.roche.com/media/releases/med-cor-2020-04-17.htm </t>
  </si>
  <si>
    <t>schedule appt</t>
  </si>
  <si>
    <t>data entry</t>
  </si>
  <si>
    <t>Number Tested PER DAY</t>
  </si>
  <si>
    <t>setup/travel/test</t>
  </si>
  <si>
    <t>HCW</t>
  </si>
  <si>
    <t>ADMIN</t>
  </si>
  <si>
    <t>LAB</t>
  </si>
  <si>
    <t>Personnel Category</t>
  </si>
  <si>
    <t xml:space="preserve">senior nurse </t>
  </si>
  <si>
    <t>principal</t>
  </si>
  <si>
    <t>teachers</t>
  </si>
  <si>
    <t>Types of Staff - HCW</t>
  </si>
  <si>
    <t>Type of Staff - ADMIN</t>
  </si>
  <si>
    <t>Type of Staff - LAB</t>
  </si>
  <si>
    <t>Type of Staff - OTHER</t>
  </si>
  <si>
    <t>PH physician</t>
  </si>
  <si>
    <t>number of workplaces with &lt;20 employees</t>
  </si>
  <si>
    <t>STEP 1</t>
  </si>
  <si>
    <t>STEP 2</t>
  </si>
  <si>
    <t>STEP 3</t>
  </si>
  <si>
    <t>STEP 4</t>
  </si>
  <si>
    <t>STEP 5</t>
  </si>
  <si>
    <t>STEP 6</t>
  </si>
  <si>
    <t>CURRENT STRATEGY</t>
  </si>
  <si>
    <t>TESTING HOSPITAL EMPLOYEES</t>
  </si>
  <si>
    <t>TESTING ESSENTIAL WORKERS</t>
  </si>
  <si>
    <t>TESTING SCHOOL KIDS &amp; STAFF</t>
  </si>
  <si>
    <t>max capacity of tests per-day</t>
  </si>
  <si>
    <t>% positive: testing essential</t>
  </si>
  <si>
    <t>People to be tested on site</t>
  </si>
  <si>
    <t>People to be tested onsite</t>
  </si>
  <si>
    <t>RETESTING INCLUDED IN COSTS?</t>
  </si>
  <si>
    <t>REPEAT TESTING INCLUDED IN COSTS (0 = no, 1 = yes)</t>
  </si>
  <si>
    <t>% positive: testing schools</t>
  </si>
  <si>
    <t>TESTING LTCF WORKERS + RESIDENTS</t>
  </si>
  <si>
    <t>prop nurse</t>
  </si>
  <si>
    <t>prop physician</t>
  </si>
  <si>
    <t>prop clerical</t>
  </si>
  <si>
    <t>CATEGORY</t>
  </si>
  <si>
    <t>prop aux nurse</t>
  </si>
  <si>
    <t>prop all other</t>
  </si>
  <si>
    <t>no</t>
  </si>
  <si>
    <t>Step 2. nurse time for drive thru</t>
  </si>
  <si>
    <t>Step 2. nurse time for clinic</t>
  </si>
  <si>
    <t>Step 3. transport attendant time</t>
  </si>
  <si>
    <t>Step 4. lab tech time for prep</t>
  </si>
  <si>
    <t>Step 4. lab tech time for ext + amp</t>
  </si>
  <si>
    <t>Step 5. clerical time</t>
  </si>
  <si>
    <t>Step 6. nurse time for index</t>
  </si>
  <si>
    <t>Step 6. clerical time for contacts</t>
  </si>
  <si>
    <t>Step 1. clerical time (current strategy only)</t>
  </si>
  <si>
    <t>Step 1. clerical time (contacts only)</t>
  </si>
  <si>
    <t>Step 1. clerical time for individuals (workers only)</t>
  </si>
  <si>
    <t>Step 1. clerical time for sites (workers only)</t>
  </si>
  <si>
    <t>Step 1. clerical time for 100 ppl (workers only)</t>
  </si>
  <si>
    <t>Step 5. nurse calling time (contacts and workers)</t>
  </si>
  <si>
    <t>Step 5. nurse calling time (current strategy only)</t>
  </si>
  <si>
    <t>Step 2. nurse time for mobile (NP swab)</t>
  </si>
  <si>
    <t>Step 2. nurse time for mobile (deep saliva)</t>
  </si>
  <si>
    <t>Personnel times per person tested (in minutes)</t>
  </si>
  <si>
    <t>CURRENT VALUE -- copy and paste row from above into this row to automatically fill in dashboard values</t>
  </si>
  <si>
    <t>reagents for RT-PCR</t>
  </si>
  <si>
    <t>other consumables for RT-PCR</t>
  </si>
  <si>
    <t>Step 4. clerical time for lab reception</t>
  </si>
  <si>
    <t>Step 4. lab tech time for positive result report</t>
  </si>
  <si>
    <t>Step 4. lab tech time for negative result report</t>
  </si>
  <si>
    <t>time to take whole blood sample (from Chantal)</t>
  </si>
  <si>
    <t xml:space="preserve">prep time ELISA (from Matt Cheng) </t>
  </si>
  <si>
    <t xml:space="preserve">reporting time ELISA (from Matt Cheng) </t>
  </si>
  <si>
    <t xml:space="preserve">processing time ELISA (from Matt Cheng) </t>
  </si>
  <si>
    <t>(17) Adherence reduction (select reduction factor below)</t>
  </si>
  <si>
    <t>REDUCTION FACTOR</t>
  </si>
  <si>
    <t>adherence</t>
  </si>
  <si>
    <t>(15) Prevalence increase (select amplification factor below)</t>
  </si>
  <si>
    <t>AMPLIFICATION FACTOR</t>
  </si>
  <si>
    <t># contacts (work): testing essential &amp; schoolchildren</t>
  </si>
  <si>
    <t># contacts (non-work): testing essential &amp; schoolchildren</t>
  </si>
  <si>
    <t>CANADA</t>
  </si>
  <si>
    <t>Turning each of these scenarios ON will adjust the numbers in the results tables accordingly. 
You can also turn ON a combination of analyses</t>
  </si>
  <si>
    <t>SENSITIVITY ANALYSES (ones in white were explored in the study)</t>
  </si>
  <si>
    <t>SAMPLING REDUCTION FACTOR</t>
  </si>
  <si>
    <t>REGION
(select one of these rows and paste into "CURRENT VALUES")</t>
  </si>
  <si>
    <t>number of individuals currently being tested per day</t>
  </si>
  <si>
    <t>number of symptomatic individuals per day during off-peak season</t>
  </si>
  <si>
    <t>number of acute care hospital employees</t>
  </si>
  <si>
    <t>number of long term care facility employees and residents</t>
  </si>
  <si>
    <t>number of long term care facility employees only</t>
  </si>
  <si>
    <t>number of public-facing essential worker</t>
  </si>
  <si>
    <t>number of school children and staff</t>
  </si>
  <si>
    <t>number of labs (under a capacity of 1000 tests per lab per day)</t>
  </si>
  <si>
    <t>number of assessment centres for people to get sampled</t>
  </si>
  <si>
    <t>number of acute care hopitals</t>
  </si>
  <si>
    <t>number of long term care facilities</t>
  </si>
  <si>
    <t>number of essential public-facing businesses</t>
  </si>
  <si>
    <t>number of schools</t>
  </si>
  <si>
    <t>number of hospitals with a lab (zero all around because all hospitals require sample pick up)</t>
  </si>
  <si>
    <t>number of acute care hospitals with less than 5 employees</t>
  </si>
  <si>
    <t>number of long term care facilities with less than 5 employees</t>
  </si>
  <si>
    <t>number of essential public-facing businesses with less than 20 employees</t>
  </si>
  <si>
    <t>proportion of acute care hospitals with less than 5 employees</t>
  </si>
  <si>
    <t>proportion of long term care facilities with less than 5 employees</t>
  </si>
  <si>
    <t>proportion of essential public-facing businesses with less than 20 employees</t>
  </si>
  <si>
    <t>percent testing positive among symptomatic individuals during off-peak season</t>
  </si>
  <si>
    <t>percent testing positive among individuals currently being tested</t>
  </si>
  <si>
    <t>percent testing positive among health care workers</t>
  </si>
  <si>
    <t>percent testing positive among essential public-facing employees</t>
  </si>
  <si>
    <t>percent testing positive among school children and staff</t>
  </si>
  <si>
    <t>maximum lab capacity per day (number of samples processed)</t>
  </si>
  <si>
    <t>BRITISH COLUMBIA</t>
  </si>
  <si>
    <t>ALBERTA</t>
  </si>
  <si>
    <t>SASKATCHEWAN</t>
  </si>
  <si>
    <t>MANITOBA</t>
  </si>
  <si>
    <t>ONTARIO</t>
  </si>
  <si>
    <t>QUEBEC</t>
  </si>
  <si>
    <t>NEWFOUNDLAND</t>
  </si>
  <si>
    <t>NOVA SCOTIA</t>
  </si>
  <si>
    <t>NEW BRUNSWICK</t>
  </si>
  <si>
    <t>PRINCE EDWARD ISLAND</t>
  </si>
  <si>
    <t>currently tested</t>
  </si>
  <si>
    <t>index cases among symptomatic individuals</t>
  </si>
  <si>
    <t>index cases among currently tested</t>
  </si>
  <si>
    <t>proportion going through current strategy</t>
  </si>
  <si>
    <t>proportion going through contact investigation</t>
  </si>
  <si>
    <t>Have you activated a sensitivity analysis which will change values below?</t>
  </si>
  <si>
    <r>
      <t xml:space="preserve">LIST OF PARAMETERS
</t>
    </r>
    <r>
      <rPr>
        <b/>
        <sz val="14"/>
        <color theme="4"/>
        <rFont val="Calibri (Body)_x0000_"/>
      </rPr>
      <t>parameters in blue will change depending on the selected region</t>
    </r>
    <r>
      <rPr>
        <b/>
        <sz val="14"/>
        <color theme="1"/>
        <rFont val="Calibri"/>
        <family val="2"/>
        <scheme val="minor"/>
      </rPr>
      <t xml:space="preserve">
</t>
    </r>
    <r>
      <rPr>
        <b/>
        <sz val="14"/>
        <color rgb="FFFF0000"/>
        <rFont val="Calibri (Body)_x0000_"/>
      </rPr>
      <t>parameters in red won't change</t>
    </r>
  </si>
  <si>
    <t>total symptomatic individuals</t>
  </si>
  <si>
    <t>Current Strategy &amp; Expanded Contact Investigation</t>
  </si>
  <si>
    <t>SUMMARY TABLES BY STEP AND HR CATEGORY (FTE per 100 tested)</t>
  </si>
  <si>
    <t>EXPANDED CONTACT INVESTIGATION</t>
  </si>
  <si>
    <t>CURRENT STRATEGY &amp; EXPANDED CONTACT INVESTIGATION (WEIGHTED BY CELLS I24 and I25)</t>
  </si>
  <si>
    <t>proportion of different types of staff</t>
  </si>
  <si>
    <t>Testing School Children &amp; Staff</t>
  </si>
  <si>
    <t>RESULTS TABLE FOR ALL STEPS - FTE per 100 people tested</t>
  </si>
  <si>
    <t>RESULTS TABLE FOR EACH STEP - FTE per 100 people tested</t>
  </si>
  <si>
    <t>Specify whether you're testing symptomatic individuals or those currently tested in order to change numbers in the parameters list:</t>
  </si>
  <si>
    <t>Are you testing only symptomatic individuals?*</t>
  </si>
  <si>
    <t>*In some cases, provinces are testing asymptomatic individuals, so the number currently tested is larger than the number of symptomatic individuals</t>
  </si>
  <si>
    <t xml:space="preserve">data manager </t>
  </si>
  <si>
    <t>nasopharyngeal swabs &amp; tube</t>
  </si>
  <si>
    <t>ELISA lab kit</t>
  </si>
  <si>
    <t>LFA lab kit (placeholder assumption)</t>
  </si>
  <si>
    <t>serology POC test kit (placeholder assumption)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</si>
</sst>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quot;$&quot;#,##0_);[Red]\(&quot;$&quot;#,##0\)"/>
    <numFmt numFmtId="165" formatCode="&quot;$&quot;#,##0.00_);[Red]\(&quot;$&quot;#,##0.00\)"/>
    <numFmt numFmtId="166" formatCode="_(&quot;$&quot;* #,##0.00_);_(&quot;$&quot;* \(#,##0.00\);_(&quot;$&quot;* &quot;-&quot;??_);_(@_)"/>
    <numFmt numFmtId="167" formatCode="_(* #,##0.00_);_(* \(#,##0.00\);_(* &quot;-&quot;??_);_(@_)"/>
    <numFmt numFmtId="168" formatCode="&quot;$&quot;#,##0.00"/>
    <numFmt numFmtId="169" formatCode="_(* #,##0_);_(* \(#,##0\);_(* &quot;-&quot;??_);_(@_)"/>
    <numFmt numFmtId="170" formatCode="#,##0.0"/>
    <numFmt numFmtId="171" formatCode="&quot;$&quot;#,##0"/>
    <numFmt numFmtId="172" formatCode="0.0"/>
    <numFmt numFmtId="173" formatCode="0.000"/>
    <numFmt numFmtId="174" formatCode="0.0%"/>
    <numFmt numFmtId="175" formatCode="0.000%"/>
    <numFmt numFmtId="176" formatCode="0.00000"/>
    <numFmt numFmtId="177" formatCode="0.0000"/>
  </numFmts>
  <fonts count="51">
    <font>
      <sz val="12"/>
      <color theme="1"/>
      <name val="Calibri"/>
      <family val="2"/>
      <scheme val="minor"/>
    </font>
    <font>
      <sz val="12"/>
      <color theme="1"/>
      <name val="Calibri"/>
      <family val="2"/>
      <scheme val="minor"/>
    </font>
    <font>
      <b/>
      <sz val="12"/>
      <color theme="1"/>
      <name val="Calibri"/>
      <family val="2"/>
      <scheme val="minor"/>
    </font>
    <font>
      <b/>
      <sz val="12"/>
      <color rgb="FFFF0000"/>
      <name val="Calibri"/>
      <family val="2"/>
      <scheme val="minor"/>
    </font>
    <font>
      <b/>
      <sz val="12"/>
      <name val="Calibri"/>
      <family val="2"/>
      <scheme val="minor"/>
    </font>
    <font>
      <sz val="12"/>
      <color theme="4"/>
      <name val="Calibri"/>
      <family val="2"/>
      <scheme val="minor"/>
    </font>
    <font>
      <b/>
      <i/>
      <sz val="12"/>
      <color theme="1"/>
      <name val="Calibri"/>
      <family val="2"/>
      <scheme val="minor"/>
    </font>
    <font>
      <b/>
      <sz val="14"/>
      <color theme="1"/>
      <name val="Calibri"/>
      <family val="2"/>
      <scheme val="minor"/>
    </font>
    <font>
      <b/>
      <sz val="14"/>
      <name val="Calibri"/>
      <family val="2"/>
      <scheme val="minor"/>
    </font>
    <font>
      <b/>
      <sz val="12"/>
      <color theme="4"/>
      <name val="Calibri"/>
      <family val="2"/>
      <scheme val="minor"/>
    </font>
    <font>
      <i/>
      <sz val="12"/>
      <color theme="1"/>
      <name val="Calibri"/>
      <family val="2"/>
      <scheme val="minor"/>
    </font>
    <font>
      <b/>
      <sz val="16"/>
      <color theme="4"/>
      <name val="Calibri"/>
      <family val="2"/>
      <scheme val="minor"/>
    </font>
    <font>
      <b/>
      <sz val="16"/>
      <color theme="1"/>
      <name val="Calibri"/>
      <family val="2"/>
      <scheme val="minor"/>
    </font>
    <font>
      <sz val="12"/>
      <name val="Calibri"/>
      <family val="2"/>
      <scheme val="minor"/>
    </font>
    <font>
      <i/>
      <sz val="14"/>
      <color theme="1"/>
      <name val="Calibri"/>
      <family val="2"/>
      <scheme val="minor"/>
    </font>
    <font>
      <u/>
      <sz val="12"/>
      <color theme="10"/>
      <name val="Calibri"/>
      <family val="2"/>
      <scheme val="minor"/>
    </font>
    <font>
      <u/>
      <sz val="11"/>
      <color rgb="FF0563C1"/>
      <name val="Inherit"/>
    </font>
    <font>
      <sz val="12"/>
      <color rgb="FFFF0000"/>
      <name val="Calibri"/>
      <family val="2"/>
      <scheme val="minor"/>
    </font>
    <font>
      <sz val="12"/>
      <color theme="0"/>
      <name val="Calibri"/>
      <family val="2"/>
      <scheme val="minor"/>
    </font>
    <font>
      <b/>
      <sz val="14"/>
      <color theme="0"/>
      <name val="Calibri"/>
      <family val="2"/>
      <scheme val="minor"/>
    </font>
    <font>
      <b/>
      <sz val="12"/>
      <color rgb="FFFFFF00"/>
      <name val="Calibri"/>
      <family val="2"/>
      <scheme val="minor"/>
    </font>
    <font>
      <sz val="12"/>
      <color rgb="FFFFFF00"/>
      <name val="Calibri"/>
      <family val="2"/>
      <scheme val="minor"/>
    </font>
    <font>
      <b/>
      <i/>
      <sz val="14"/>
      <color rgb="FFFF0000"/>
      <name val="Calibri"/>
      <family val="2"/>
      <scheme val="minor"/>
    </font>
    <font>
      <b/>
      <i/>
      <sz val="12"/>
      <name val="Calibri"/>
      <family val="2"/>
      <scheme val="minor"/>
    </font>
    <font>
      <b/>
      <sz val="20"/>
      <color rgb="FFFF0000"/>
      <name val="Calibri"/>
      <family val="2"/>
      <scheme val="minor"/>
    </font>
    <font>
      <b/>
      <sz val="12"/>
      <color rgb="FFFF0000"/>
      <name val="Calibri (Body)_x0000_"/>
    </font>
    <font>
      <sz val="12"/>
      <name val="Calibri (Body)_x0000_"/>
    </font>
    <font>
      <sz val="12"/>
      <color rgb="FF000000"/>
      <name val="Calibri"/>
      <family val="2"/>
    </font>
    <font>
      <sz val="12"/>
      <color rgb="FFFF0000"/>
      <name val="Calibri (Body)_x0000_"/>
    </font>
    <font>
      <sz val="12"/>
      <color theme="1"/>
      <name val="Calibri (Body)_x0000_"/>
    </font>
    <font>
      <sz val="12"/>
      <color rgb="FF000000"/>
      <name val="Calibri (Body)_x0000_"/>
    </font>
    <font>
      <b/>
      <sz val="11"/>
      <color rgb="FF000000"/>
      <name val="Calibri"/>
      <family val="2"/>
      <scheme val="minor"/>
    </font>
    <font>
      <sz val="12"/>
      <name val="Calibri (Body)"/>
    </font>
    <font>
      <sz val="11"/>
      <color rgb="FF000000"/>
      <name val="Calibri"/>
      <family val="2"/>
      <scheme val="minor"/>
    </font>
    <font>
      <b/>
      <sz val="12"/>
      <color rgb="FF7030A0"/>
      <name val="Calibri"/>
      <family val="2"/>
      <scheme val="minor"/>
    </font>
    <font>
      <b/>
      <sz val="11"/>
      <color theme="1"/>
      <name val="Calibri"/>
      <family val="2"/>
      <scheme val="minor"/>
    </font>
    <font>
      <b/>
      <sz val="11"/>
      <name val="Calibri"/>
      <family val="2"/>
      <scheme val="minor"/>
    </font>
    <font>
      <sz val="11"/>
      <color rgb="FFFF0000"/>
      <name val="Calibri"/>
      <family val="2"/>
      <scheme val="minor"/>
    </font>
    <font>
      <sz val="11"/>
      <color theme="1"/>
      <name val="Calibri"/>
      <family val="2"/>
      <scheme val="minor"/>
    </font>
    <font>
      <sz val="11"/>
      <name val="Calibri"/>
      <family val="2"/>
      <scheme val="minor"/>
    </font>
    <font>
      <b/>
      <i/>
      <sz val="12"/>
      <color rgb="FFFF0000"/>
      <name val="Calibri"/>
      <family val="2"/>
      <scheme val="minor"/>
    </font>
    <font>
      <b/>
      <i/>
      <sz val="11"/>
      <color rgb="FFFF0000"/>
      <name val="Calibri"/>
      <family val="2"/>
      <scheme val="minor"/>
    </font>
    <font>
      <sz val="12"/>
      <color theme="1"/>
      <name val="Calibri"/>
      <family val="2"/>
    </font>
    <font>
      <sz val="12"/>
      <color rgb="FFFF0000"/>
      <name val="Calibri"/>
      <family val="2"/>
    </font>
    <font>
      <sz val="12"/>
      <color theme="1"/>
      <name val="Garamond"/>
      <family val="1"/>
    </font>
    <font>
      <sz val="12"/>
      <color rgb="FF000000"/>
      <name val="Calibri"/>
      <family val="2"/>
      <scheme val="minor"/>
    </font>
    <font>
      <sz val="14"/>
      <color theme="1"/>
      <name val="Calibri"/>
      <family val="2"/>
      <scheme val="minor"/>
    </font>
    <font>
      <sz val="11"/>
      <color theme="4"/>
      <name val="Calibri"/>
      <family val="2"/>
      <scheme val="minor"/>
    </font>
    <font>
      <b/>
      <sz val="14"/>
      <color theme="4"/>
      <name val="Calibri (Body)_x0000_"/>
    </font>
    <font>
      <b/>
      <sz val="14"/>
      <color rgb="FFFF0000"/>
      <name val="Calibri (Body)_x0000_"/>
    </font>
    <font>
      <i/>
      <sz val="12"/>
      <name val="Calibri"/>
      <family val="2"/>
      <scheme val="minor"/>
    </font>
  </fonts>
  <fills count="22">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rgb="FFFFCCED"/>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rgb="FF0070C0"/>
        <bgColor indexed="64"/>
      </patternFill>
    </fill>
    <fill>
      <patternFill patternType="solid">
        <fgColor theme="1"/>
        <bgColor indexed="64"/>
      </patternFill>
    </fill>
    <fill>
      <patternFill patternType="solid">
        <fgColor rgb="FFDCCBFF"/>
        <bgColor indexed="64"/>
      </patternFill>
    </fill>
    <fill>
      <patternFill patternType="solid">
        <fgColor rgb="FFFFBA9B"/>
        <bgColor indexed="64"/>
      </patternFill>
    </fill>
    <fill>
      <patternFill patternType="solid">
        <fgColor theme="7"/>
        <bgColor indexed="64"/>
      </patternFill>
    </fill>
    <fill>
      <patternFill patternType="solid">
        <fgColor theme="9" tint="0.39997558519241921"/>
        <bgColor indexed="64"/>
      </patternFill>
    </fill>
    <fill>
      <patternFill patternType="solid">
        <fgColor rgb="FFFFFFFF"/>
        <bgColor indexed="64"/>
      </patternFill>
    </fill>
    <fill>
      <patternFill patternType="solid">
        <fgColor rgb="FF92D050"/>
        <bgColor indexed="64"/>
      </patternFill>
    </fill>
    <fill>
      <patternFill patternType="solid">
        <fgColor theme="7" tint="0.39997558519241921"/>
        <bgColor indexed="64"/>
      </patternFill>
    </fill>
    <fill>
      <patternFill patternType="solid">
        <fgColor theme="5" tint="0.59999389629810485"/>
        <bgColor indexed="64"/>
      </patternFill>
    </fill>
  </fills>
  <borders count="29">
    <border>
      <left/>
      <right/>
      <top/>
      <bottom/>
      <diagonal/>
    </border>
    <border>
      <left/>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s>
  <cellStyleXfs count="5">
    <xf numFmtId="0" fontId="0" fillId="0" borderId="0"/>
    <xf numFmtId="167" fontId="1" fillId="0" borderId="0" applyFont="0" applyFill="0" applyBorder="0" applyAlignment="0" applyProtection="0"/>
    <xf numFmtId="166" fontId="1" fillId="0" borderId="0" applyFont="0" applyFill="0" applyBorder="0" applyAlignment="0" applyProtection="0"/>
    <xf numFmtId="0" fontId="15" fillId="0" borderId="0" applyNumberFormat="0" applyFill="0" applyBorder="0" applyAlignment="0" applyProtection="0"/>
    <xf numFmtId="9" fontId="1" fillId="0" borderId="0" applyFont="0" applyFill="0" applyBorder="0" applyAlignment="0" applyProtection="0"/>
  </cellStyleXfs>
  <cellXfs count="556">
    <xf numFmtId="0" fontId="0" fillId="0" borderId="0" xfId="0"/>
    <xf numFmtId="0" fontId="0" fillId="0" borderId="0" xfId="0" applyAlignment="1">
      <alignment wrapText="1"/>
    </xf>
    <xf numFmtId="0" fontId="0" fillId="0" borderId="0" xfId="0" applyAlignment="1">
      <alignment horizontal="center" wrapText="1"/>
    </xf>
    <xf numFmtId="168" fontId="0" fillId="0" borderId="0" xfId="0" applyNumberFormat="1" applyAlignment="1">
      <alignment wrapText="1"/>
    </xf>
    <xf numFmtId="168" fontId="0" fillId="0" borderId="0" xfId="2" applyNumberFormat="1" applyFont="1" applyAlignment="1">
      <alignment wrapText="1"/>
    </xf>
    <xf numFmtId="0" fontId="0" fillId="0" borderId="0" xfId="0" applyBorder="1" applyAlignment="1">
      <alignment wrapText="1"/>
    </xf>
    <xf numFmtId="168" fontId="0" fillId="0" borderId="0" xfId="2" applyNumberFormat="1" applyFont="1" applyBorder="1" applyAlignment="1">
      <alignment wrapText="1"/>
    </xf>
    <xf numFmtId="168" fontId="0" fillId="0" borderId="0" xfId="0" applyNumberFormat="1" applyBorder="1" applyAlignment="1">
      <alignment wrapText="1"/>
    </xf>
    <xf numFmtId="169" fontId="0" fillId="0" borderId="0" xfId="1" applyNumberFormat="1" applyFont="1" applyBorder="1" applyAlignment="1">
      <alignment wrapText="1"/>
    </xf>
    <xf numFmtId="0" fontId="3" fillId="0" borderId="2" xfId="0" applyFont="1" applyBorder="1" applyAlignment="1">
      <alignment wrapText="1"/>
    </xf>
    <xf numFmtId="0" fontId="0" fillId="0" borderId="2" xfId="0" applyBorder="1" applyAlignment="1">
      <alignment wrapText="1"/>
    </xf>
    <xf numFmtId="2" fontId="0" fillId="0" borderId="0" xfId="0" applyNumberFormat="1" applyAlignment="1">
      <alignment wrapText="1"/>
    </xf>
    <xf numFmtId="1" fontId="0" fillId="0" borderId="0" xfId="0" applyNumberFormat="1" applyAlignment="1">
      <alignment wrapText="1"/>
    </xf>
    <xf numFmtId="0" fontId="0" fillId="0" borderId="0" xfId="0" applyBorder="1" applyAlignment="1">
      <alignment horizontal="center" wrapText="1"/>
    </xf>
    <xf numFmtId="0" fontId="0" fillId="0" borderId="2" xfId="0" applyBorder="1" applyAlignment="1">
      <alignment horizontal="center" wrapText="1"/>
    </xf>
    <xf numFmtId="0" fontId="0" fillId="2" borderId="0" xfId="0" applyFill="1" applyBorder="1" applyAlignment="1">
      <alignment wrapText="1"/>
    </xf>
    <xf numFmtId="0" fontId="0" fillId="3" borderId="0" xfId="0" applyFill="1" applyBorder="1" applyAlignment="1">
      <alignment wrapText="1"/>
    </xf>
    <xf numFmtId="0" fontId="0" fillId="3" borderId="0" xfId="0" applyFill="1" applyAlignment="1">
      <alignment wrapText="1"/>
    </xf>
    <xf numFmtId="0" fontId="4" fillId="0" borderId="1" xfId="0" applyFont="1" applyBorder="1" applyAlignment="1">
      <alignment horizontal="center" wrapText="1"/>
    </xf>
    <xf numFmtId="0" fontId="4" fillId="0" borderId="0" xfId="0" applyFont="1" applyBorder="1" applyAlignment="1">
      <alignment horizontal="center" wrapText="1"/>
    </xf>
    <xf numFmtId="0" fontId="4" fillId="0" borderId="2" xfId="0" applyFont="1" applyBorder="1" applyAlignment="1">
      <alignment horizontal="center" wrapText="1"/>
    </xf>
    <xf numFmtId="0" fontId="4" fillId="0" borderId="0" xfId="0" applyFont="1" applyAlignment="1">
      <alignment horizontal="center" wrapText="1"/>
    </xf>
    <xf numFmtId="0" fontId="0" fillId="4" borderId="0" xfId="0" applyFill="1" applyAlignment="1">
      <alignment wrapText="1"/>
    </xf>
    <xf numFmtId="0" fontId="0" fillId="5" borderId="0" xfId="0" applyFill="1" applyAlignment="1">
      <alignment wrapText="1"/>
    </xf>
    <xf numFmtId="0" fontId="0" fillId="6" borderId="0" xfId="0" applyFill="1" applyAlignment="1">
      <alignment wrapText="1"/>
    </xf>
    <xf numFmtId="0" fontId="0" fillId="7" borderId="0" xfId="0" applyFill="1" applyAlignment="1">
      <alignment wrapText="1"/>
    </xf>
    <xf numFmtId="3" fontId="0" fillId="0" borderId="0" xfId="0" applyNumberFormat="1" applyAlignment="1">
      <alignment wrapText="1"/>
    </xf>
    <xf numFmtId="0" fontId="2" fillId="0" borderId="0" xfId="0" applyFont="1" applyAlignment="1">
      <alignment wrapText="1"/>
    </xf>
    <xf numFmtId="0" fontId="0" fillId="0" borderId="1" xfId="0" applyBorder="1" applyAlignment="1">
      <alignment wrapText="1"/>
    </xf>
    <xf numFmtId="0" fontId="0" fillId="0" borderId="1" xfId="0" applyBorder="1" applyAlignment="1">
      <alignment horizontal="center" wrapText="1"/>
    </xf>
    <xf numFmtId="168" fontId="0" fillId="0" borderId="1" xfId="0" applyNumberFormat="1" applyBorder="1" applyAlignment="1">
      <alignment wrapText="1"/>
    </xf>
    <xf numFmtId="168" fontId="0" fillId="0" borderId="1" xfId="2" applyNumberFormat="1" applyFont="1" applyBorder="1" applyAlignment="1">
      <alignment wrapText="1"/>
    </xf>
    <xf numFmtId="0" fontId="0" fillId="0" borderId="0" xfId="0" applyNumberFormat="1" applyAlignment="1">
      <alignment wrapText="1"/>
    </xf>
    <xf numFmtId="0" fontId="0" fillId="0" borderId="1" xfId="0" applyNumberFormat="1" applyBorder="1" applyAlignment="1">
      <alignment wrapText="1"/>
    </xf>
    <xf numFmtId="0" fontId="0" fillId="0" borderId="0" xfId="0" applyNumberFormat="1" applyBorder="1" applyAlignment="1">
      <alignment wrapText="1"/>
    </xf>
    <xf numFmtId="0" fontId="0" fillId="5" borderId="6" xfId="0" applyFont="1" applyFill="1" applyBorder="1" applyAlignment="1">
      <alignment horizontal="center" vertical="center" wrapText="1"/>
    </xf>
    <xf numFmtId="3" fontId="3" fillId="5" borderId="8" xfId="0" applyNumberFormat="1" applyFont="1" applyFill="1" applyBorder="1" applyAlignment="1">
      <alignment horizontal="center" vertical="center" wrapText="1"/>
    </xf>
    <xf numFmtId="0" fontId="3" fillId="5" borderId="10" xfId="0" applyFont="1" applyFill="1" applyBorder="1" applyAlignment="1">
      <alignment horizontal="center" vertical="center" wrapText="1"/>
    </xf>
    <xf numFmtId="0" fontId="0" fillId="5" borderId="7" xfId="0" applyFont="1" applyFill="1" applyBorder="1" applyAlignment="1">
      <alignment horizontal="right" vertical="center" wrapText="1"/>
    </xf>
    <xf numFmtId="0" fontId="0" fillId="5" borderId="9" xfId="0" applyFont="1" applyFill="1" applyBorder="1" applyAlignment="1">
      <alignment horizontal="right" vertical="center" wrapText="1"/>
    </xf>
    <xf numFmtId="0" fontId="0" fillId="5" borderId="5" xfId="0" applyFont="1" applyFill="1" applyBorder="1" applyAlignment="1">
      <alignment horizontal="right" vertical="center" wrapText="1"/>
    </xf>
    <xf numFmtId="0" fontId="5" fillId="0" borderId="0" xfId="0" applyFont="1" applyBorder="1" applyAlignment="1">
      <alignment wrapText="1"/>
    </xf>
    <xf numFmtId="0" fontId="5" fillId="0" borderId="0" xfId="0" applyFont="1" applyAlignment="1">
      <alignment wrapText="1"/>
    </xf>
    <xf numFmtId="3" fontId="0" fillId="0" borderId="0" xfId="0" applyNumberFormat="1" applyBorder="1" applyAlignment="1">
      <alignment wrapText="1"/>
    </xf>
    <xf numFmtId="0" fontId="0" fillId="5" borderId="11" xfId="0" applyFont="1" applyFill="1" applyBorder="1" applyAlignment="1">
      <alignment horizontal="right" vertical="center" wrapText="1"/>
    </xf>
    <xf numFmtId="0" fontId="2" fillId="8" borderId="1" xfId="0" applyFont="1" applyFill="1" applyBorder="1" applyAlignment="1">
      <alignment horizontal="center" wrapText="1"/>
    </xf>
    <xf numFmtId="0" fontId="4" fillId="8" borderId="1" xfId="0" applyFont="1" applyFill="1" applyBorder="1" applyAlignment="1">
      <alignment horizontal="center" wrapText="1"/>
    </xf>
    <xf numFmtId="168" fontId="2" fillId="8" borderId="1" xfId="0" applyNumberFormat="1" applyFont="1" applyFill="1" applyBorder="1" applyAlignment="1">
      <alignment horizontal="center" wrapText="1"/>
    </xf>
    <xf numFmtId="0" fontId="2" fillId="8" borderId="1" xfId="0" applyNumberFormat="1" applyFont="1" applyFill="1" applyBorder="1" applyAlignment="1">
      <alignment horizontal="center" wrapText="1"/>
    </xf>
    <xf numFmtId="168" fontId="2" fillId="8" borderId="1" xfId="2" applyNumberFormat="1" applyFont="1" applyFill="1" applyBorder="1" applyAlignment="1">
      <alignment horizontal="center" wrapText="1"/>
    </xf>
    <xf numFmtId="0" fontId="6" fillId="9" borderId="1" xfId="0" applyFont="1" applyFill="1" applyBorder="1" applyAlignment="1">
      <alignment wrapText="1"/>
    </xf>
    <xf numFmtId="168" fontId="0" fillId="0" borderId="0" xfId="0" applyNumberFormat="1" applyFill="1" applyAlignment="1">
      <alignment wrapText="1"/>
    </xf>
    <xf numFmtId="0" fontId="0" fillId="0" borderId="0" xfId="0" applyNumberFormat="1" applyFill="1" applyAlignment="1">
      <alignment wrapText="1"/>
    </xf>
    <xf numFmtId="0" fontId="0" fillId="0" borderId="0" xfId="0" applyFill="1" applyAlignment="1">
      <alignment wrapText="1"/>
    </xf>
    <xf numFmtId="168" fontId="0" fillId="0" borderId="0" xfId="2" applyNumberFormat="1" applyFont="1" applyFill="1" applyAlignment="1">
      <alignment wrapText="1"/>
    </xf>
    <xf numFmtId="2" fontId="0" fillId="0" borderId="0" xfId="0" applyNumberFormat="1" applyFill="1" applyAlignment="1">
      <alignment wrapText="1"/>
    </xf>
    <xf numFmtId="168" fontId="0" fillId="0" borderId="0" xfId="0" applyNumberFormat="1" applyFill="1" applyBorder="1" applyAlignment="1">
      <alignment wrapText="1"/>
    </xf>
    <xf numFmtId="0" fontId="0" fillId="4" borderId="3" xfId="0" applyFill="1" applyBorder="1" applyAlignment="1">
      <alignment wrapText="1"/>
    </xf>
    <xf numFmtId="0" fontId="0" fillId="4" borderId="3" xfId="0" applyFill="1" applyBorder="1" applyAlignment="1">
      <alignment horizontal="center" wrapText="1"/>
    </xf>
    <xf numFmtId="0" fontId="4" fillId="4" borderId="3" xfId="0" applyFont="1" applyFill="1" applyBorder="1" applyAlignment="1">
      <alignment horizontal="center" wrapText="1"/>
    </xf>
    <xf numFmtId="168" fontId="0" fillId="4" borderId="3" xfId="0" applyNumberFormat="1" applyFill="1" applyBorder="1" applyAlignment="1">
      <alignment wrapText="1"/>
    </xf>
    <xf numFmtId="0" fontId="0" fillId="4" borderId="3" xfId="0" applyNumberFormat="1" applyFill="1" applyBorder="1" applyAlignment="1">
      <alignment wrapText="1"/>
    </xf>
    <xf numFmtId="0" fontId="8" fillId="4" borderId="3" xfId="0" applyFont="1" applyFill="1" applyBorder="1" applyAlignment="1">
      <alignment wrapText="1"/>
    </xf>
    <xf numFmtId="3" fontId="7" fillId="4" borderId="3" xfId="0" applyNumberFormat="1" applyFont="1" applyFill="1" applyBorder="1" applyAlignment="1">
      <alignment wrapText="1"/>
    </xf>
    <xf numFmtId="0" fontId="7" fillId="4" borderId="3" xfId="0" applyFont="1" applyFill="1" applyBorder="1" applyAlignment="1">
      <alignment horizontal="left" wrapText="1"/>
    </xf>
    <xf numFmtId="168" fontId="8" fillId="4" borderId="3" xfId="2" applyNumberFormat="1" applyFont="1" applyFill="1" applyBorder="1" applyAlignment="1">
      <alignment wrapText="1"/>
    </xf>
    <xf numFmtId="0" fontId="9" fillId="0" borderId="0" xfId="0" applyFont="1" applyAlignment="1">
      <alignment wrapText="1"/>
    </xf>
    <xf numFmtId="170" fontId="4" fillId="5" borderId="12" xfId="0" applyNumberFormat="1" applyFont="1" applyFill="1" applyBorder="1" applyAlignment="1">
      <alignment horizontal="center" vertical="center" wrapText="1"/>
    </xf>
    <xf numFmtId="0" fontId="0" fillId="0" borderId="13" xfId="0" applyBorder="1" applyAlignment="1">
      <alignment wrapText="1"/>
    </xf>
    <xf numFmtId="0" fontId="2" fillId="10" borderId="0" xfId="0" applyFont="1" applyFill="1" applyAlignment="1">
      <alignment wrapText="1"/>
    </xf>
    <xf numFmtId="168" fontId="3" fillId="11" borderId="2" xfId="2" applyNumberFormat="1" applyFont="1" applyFill="1" applyBorder="1" applyAlignment="1">
      <alignment wrapText="1"/>
    </xf>
    <xf numFmtId="2" fontId="0" fillId="0" borderId="0" xfId="0" applyNumberFormat="1" applyBorder="1" applyAlignment="1">
      <alignment wrapText="1"/>
    </xf>
    <xf numFmtId="0" fontId="13" fillId="0" borderId="0" xfId="0" applyFont="1" applyAlignment="1">
      <alignment wrapText="1"/>
    </xf>
    <xf numFmtId="3" fontId="3" fillId="5" borderId="12" xfId="0" applyNumberFormat="1" applyFont="1" applyFill="1" applyBorder="1" applyAlignment="1">
      <alignment horizontal="center" vertical="center" wrapText="1"/>
    </xf>
    <xf numFmtId="0" fontId="0" fillId="5" borderId="7" xfId="0" applyFill="1" applyBorder="1" applyAlignment="1">
      <alignment horizontal="right" vertical="center" wrapText="1"/>
    </xf>
    <xf numFmtId="0" fontId="0" fillId="5" borderId="11" xfId="0" applyFill="1" applyBorder="1" applyAlignment="1">
      <alignment horizontal="right" vertical="center" wrapText="1"/>
    </xf>
    <xf numFmtId="0" fontId="0" fillId="5" borderId="9" xfId="0" applyFill="1" applyBorder="1" applyAlignment="1">
      <alignment horizontal="right" vertical="center" wrapText="1"/>
    </xf>
    <xf numFmtId="0" fontId="0" fillId="5" borderId="5" xfId="0" applyFill="1" applyBorder="1" applyAlignment="1">
      <alignment horizontal="right" vertical="center" wrapText="1"/>
    </xf>
    <xf numFmtId="0" fontId="0" fillId="5" borderId="6" xfId="0" applyFill="1" applyBorder="1" applyAlignment="1">
      <alignment horizontal="center" vertical="center" wrapText="1"/>
    </xf>
    <xf numFmtId="0" fontId="0" fillId="2" borderId="0" xfId="0" applyFill="1" applyAlignment="1">
      <alignment wrapText="1"/>
    </xf>
    <xf numFmtId="169" fontId="0" fillId="0" borderId="0" xfId="1" applyNumberFormat="1" applyFont="1" applyAlignment="1">
      <alignment wrapText="1"/>
    </xf>
    <xf numFmtId="0" fontId="0" fillId="5" borderId="4" xfId="0" applyFont="1" applyFill="1" applyBorder="1" applyAlignment="1">
      <alignment horizontal="right" vertical="center" wrapText="1"/>
    </xf>
    <xf numFmtId="0" fontId="3" fillId="5" borderId="14" xfId="0" applyFont="1" applyFill="1" applyBorder="1" applyAlignment="1">
      <alignment horizontal="center" vertical="center" wrapText="1"/>
    </xf>
    <xf numFmtId="0" fontId="15" fillId="0" borderId="0" xfId="3" applyAlignment="1">
      <alignment wrapText="1"/>
    </xf>
    <xf numFmtId="0" fontId="0" fillId="0" borderId="0" xfId="0" applyAlignment="1"/>
    <xf numFmtId="0" fontId="0" fillId="0" borderId="1" xfId="0" applyBorder="1" applyAlignment="1"/>
    <xf numFmtId="0" fontId="6" fillId="9" borderId="1" xfId="0" applyFont="1" applyFill="1" applyBorder="1" applyAlignment="1"/>
    <xf numFmtId="0" fontId="15" fillId="0" borderId="0" xfId="3" applyAlignment="1"/>
    <xf numFmtId="0" fontId="15" fillId="0" borderId="0" xfId="3"/>
    <xf numFmtId="0" fontId="16" fillId="0" borderId="0" xfId="0" applyFont="1"/>
    <xf numFmtId="168" fontId="4" fillId="0" borderId="0" xfId="0" applyNumberFormat="1" applyFont="1" applyAlignment="1">
      <alignment horizontal="center" wrapText="1"/>
    </xf>
    <xf numFmtId="170" fontId="0" fillId="0" borderId="0" xfId="0" applyNumberFormat="1" applyAlignment="1">
      <alignment wrapText="1"/>
    </xf>
    <xf numFmtId="2" fontId="0" fillId="0" borderId="0" xfId="0" applyNumberFormat="1" applyAlignment="1">
      <alignment horizontal="center" wrapText="1"/>
    </xf>
    <xf numFmtId="2" fontId="3" fillId="5" borderId="14" xfId="0" applyNumberFormat="1" applyFont="1" applyFill="1" applyBorder="1" applyAlignment="1">
      <alignment horizontal="center" vertical="center" wrapText="1"/>
    </xf>
    <xf numFmtId="168" fontId="0" fillId="0" borderId="0" xfId="0" applyNumberFormat="1"/>
    <xf numFmtId="0" fontId="13" fillId="0" borderId="0" xfId="0" applyFont="1" applyBorder="1" applyAlignment="1">
      <alignment wrapText="1"/>
    </xf>
    <xf numFmtId="0" fontId="4" fillId="0" borderId="0" xfId="0" applyFont="1" applyFill="1" applyAlignment="1">
      <alignment wrapText="1"/>
    </xf>
    <xf numFmtId="0" fontId="0" fillId="0" borderId="0" xfId="0" applyFill="1" applyAlignment="1">
      <alignment horizontal="center" wrapText="1"/>
    </xf>
    <xf numFmtId="0" fontId="0" fillId="0" borderId="0" xfId="0" applyNumberFormat="1"/>
    <xf numFmtId="0" fontId="13" fillId="0" borderId="1" xfId="0" applyFont="1" applyBorder="1" applyAlignment="1">
      <alignment wrapText="1"/>
    </xf>
    <xf numFmtId="0" fontId="2" fillId="2" borderId="3" xfId="0" applyFont="1" applyFill="1" applyBorder="1" applyAlignment="1">
      <alignment wrapText="1"/>
    </xf>
    <xf numFmtId="0" fontId="2" fillId="0" borderId="2" xfId="0" applyFont="1" applyBorder="1" applyAlignment="1">
      <alignment wrapText="1"/>
    </xf>
    <xf numFmtId="168" fontId="2" fillId="0" borderId="2" xfId="0" applyNumberFormat="1" applyFont="1" applyBorder="1"/>
    <xf numFmtId="0" fontId="0" fillId="0" borderId="17" xfId="0" applyBorder="1" applyAlignment="1">
      <alignment wrapText="1"/>
    </xf>
    <xf numFmtId="168" fontId="9" fillId="0" borderId="0" xfId="0" applyNumberFormat="1" applyFont="1"/>
    <xf numFmtId="0" fontId="14" fillId="0" borderId="4" xfId="0" applyFont="1" applyBorder="1" applyAlignment="1">
      <alignment vertical="center" wrapText="1"/>
    </xf>
    <xf numFmtId="0" fontId="10" fillId="0" borderId="4" xfId="0" applyFont="1" applyBorder="1" applyAlignment="1">
      <alignment vertical="center" wrapText="1"/>
    </xf>
    <xf numFmtId="0" fontId="2" fillId="2" borderId="3" xfId="0" applyFont="1" applyFill="1" applyBorder="1" applyAlignment="1">
      <alignment horizontal="center" wrapText="1"/>
    </xf>
    <xf numFmtId="0" fontId="3" fillId="2" borderId="3" xfId="0" applyFont="1" applyFill="1" applyBorder="1" applyAlignment="1">
      <alignment horizontal="center" wrapText="1"/>
    </xf>
    <xf numFmtId="168" fontId="2" fillId="2" borderId="3" xfId="0" applyNumberFormat="1" applyFont="1" applyFill="1" applyBorder="1" applyAlignment="1">
      <alignment horizontal="center" wrapText="1"/>
    </xf>
    <xf numFmtId="168" fontId="17" fillId="0" borderId="0" xfId="0" applyNumberFormat="1" applyFont="1" applyBorder="1" applyAlignment="1">
      <alignment horizontal="center" wrapText="1"/>
    </xf>
    <xf numFmtId="168" fontId="17" fillId="0" borderId="0" xfId="0" applyNumberFormat="1" applyFont="1" applyFill="1" applyBorder="1" applyAlignment="1">
      <alignment horizontal="center" wrapText="1"/>
    </xf>
    <xf numFmtId="0" fontId="17" fillId="0" borderId="1" xfId="0" applyNumberFormat="1" applyFont="1" applyBorder="1" applyAlignment="1">
      <alignment horizontal="center"/>
    </xf>
    <xf numFmtId="0" fontId="0" fillId="0" borderId="1" xfId="0" applyNumberFormat="1" applyBorder="1" applyAlignment="1">
      <alignment horizontal="center"/>
    </xf>
    <xf numFmtId="0" fontId="0" fillId="0" borderId="0" xfId="0" applyNumberFormat="1" applyBorder="1" applyAlignment="1">
      <alignment horizontal="center"/>
    </xf>
    <xf numFmtId="2" fontId="0" fillId="0" borderId="0" xfId="0" applyNumberFormat="1" applyFill="1" applyAlignment="1">
      <alignment horizontal="center" wrapText="1"/>
    </xf>
    <xf numFmtId="0" fontId="20" fillId="12" borderId="19" xfId="0" applyFont="1" applyFill="1" applyBorder="1" applyAlignment="1">
      <alignment horizontal="center" vertical="center" wrapText="1"/>
    </xf>
    <xf numFmtId="0" fontId="23" fillId="0" borderId="0" xfId="0" applyFont="1" applyAlignment="1">
      <alignment vertical="center" wrapText="1"/>
    </xf>
    <xf numFmtId="168" fontId="21" fillId="12" borderId="14" xfId="0" applyNumberFormat="1" applyFont="1" applyFill="1" applyBorder="1" applyAlignment="1">
      <alignment horizontal="center" vertical="center"/>
    </xf>
    <xf numFmtId="0" fontId="0" fillId="6" borderId="0" xfId="0" applyFill="1" applyBorder="1" applyAlignment="1">
      <alignment horizontal="center" wrapText="1"/>
    </xf>
    <xf numFmtId="0" fontId="0" fillId="6" borderId="0" xfId="0" applyFill="1" applyBorder="1" applyAlignment="1">
      <alignment wrapText="1"/>
    </xf>
    <xf numFmtId="168" fontId="0" fillId="6" borderId="0" xfId="0" applyNumberFormat="1" applyFill="1" applyBorder="1" applyAlignment="1">
      <alignment wrapText="1"/>
    </xf>
    <xf numFmtId="0" fontId="0" fillId="6" borderId="0" xfId="0" applyNumberFormat="1" applyFill="1" applyBorder="1" applyAlignment="1">
      <alignment wrapText="1"/>
    </xf>
    <xf numFmtId="168" fontId="0" fillId="6" borderId="0" xfId="2" applyNumberFormat="1" applyFont="1" applyFill="1" applyBorder="1" applyAlignment="1">
      <alignment wrapText="1"/>
    </xf>
    <xf numFmtId="0" fontId="2" fillId="6" borderId="0" xfId="0" applyFont="1" applyFill="1" applyBorder="1" applyAlignment="1">
      <alignment horizontal="center" wrapText="1"/>
    </xf>
    <xf numFmtId="0" fontId="0" fillId="0" borderId="0" xfId="0" applyFill="1" applyBorder="1" applyAlignment="1">
      <alignment wrapText="1"/>
    </xf>
    <xf numFmtId="0" fontId="13" fillId="0" borderId="0" xfId="0" applyFont="1" applyFill="1" applyAlignment="1">
      <alignment wrapText="1"/>
    </xf>
    <xf numFmtId="168" fontId="13" fillId="0" borderId="0" xfId="0" applyNumberFormat="1" applyFont="1" applyFill="1" applyAlignment="1">
      <alignment wrapText="1"/>
    </xf>
    <xf numFmtId="0" fontId="13" fillId="0" borderId="0" xfId="0" applyNumberFormat="1" applyFont="1" applyFill="1" applyAlignment="1">
      <alignment wrapText="1"/>
    </xf>
    <xf numFmtId="2" fontId="13" fillId="0" borderId="0" xfId="0" applyNumberFormat="1" applyFont="1" applyFill="1" applyAlignment="1">
      <alignment wrapText="1"/>
    </xf>
    <xf numFmtId="0" fontId="2" fillId="0" borderId="0" xfId="0" applyFont="1" applyBorder="1" applyAlignment="1">
      <alignment wrapText="1"/>
    </xf>
    <xf numFmtId="168" fontId="2" fillId="0" borderId="0" xfId="0" applyNumberFormat="1" applyFont="1" applyBorder="1"/>
    <xf numFmtId="0" fontId="5" fillId="0" borderId="0" xfId="0" applyFont="1" applyFill="1" applyAlignment="1">
      <alignment wrapText="1"/>
    </xf>
    <xf numFmtId="0" fontId="2" fillId="0" borderId="0" xfId="0" applyFont="1" applyAlignment="1">
      <alignment horizontal="center" wrapText="1"/>
    </xf>
    <xf numFmtId="0" fontId="0" fillId="6" borderId="0" xfId="0" applyFill="1" applyAlignment="1">
      <alignment horizontal="center" wrapText="1"/>
    </xf>
    <xf numFmtId="0" fontId="2" fillId="6" borderId="0" xfId="0" applyFont="1" applyFill="1" applyAlignment="1">
      <alignment horizontal="center" wrapText="1"/>
    </xf>
    <xf numFmtId="0" fontId="4" fillId="0" borderId="0" xfId="0" applyFont="1" applyAlignment="1">
      <alignment vertical="top" wrapText="1"/>
    </xf>
    <xf numFmtId="0" fontId="3" fillId="0" borderId="0" xfId="0" applyFont="1" applyAlignment="1">
      <alignment horizontal="center" wrapText="1"/>
    </xf>
    <xf numFmtId="0" fontId="3" fillId="0" borderId="0" xfId="0" applyNumberFormat="1" applyFont="1" applyAlignment="1">
      <alignment horizontal="center" wrapText="1"/>
    </xf>
    <xf numFmtId="173" fontId="0" fillId="0" borderId="0" xfId="0" applyNumberFormat="1" applyAlignment="1">
      <alignment horizontal="center" wrapText="1"/>
    </xf>
    <xf numFmtId="0" fontId="0" fillId="14" borderId="0" xfId="0" applyFill="1" applyAlignment="1">
      <alignment horizontal="center" wrapText="1"/>
    </xf>
    <xf numFmtId="0" fontId="2" fillId="14" borderId="0" xfId="0" applyFont="1" applyFill="1" applyAlignment="1">
      <alignment horizontal="center" wrapText="1"/>
    </xf>
    <xf numFmtId="173" fontId="3" fillId="0" borderId="0" xfId="0" applyNumberFormat="1" applyFont="1" applyAlignment="1">
      <alignment horizontal="center" wrapText="1"/>
    </xf>
    <xf numFmtId="2" fontId="3" fillId="0" borderId="0" xfId="0" applyNumberFormat="1" applyFont="1" applyAlignment="1">
      <alignment horizontal="center" wrapText="1"/>
    </xf>
    <xf numFmtId="3" fontId="0" fillId="0" borderId="0" xfId="0" applyNumberFormat="1" applyAlignment="1">
      <alignment horizontal="center" wrapText="1"/>
    </xf>
    <xf numFmtId="0" fontId="0" fillId="14" borderId="0" xfId="0" applyFill="1" applyBorder="1" applyAlignment="1">
      <alignment horizontal="center" wrapText="1"/>
    </xf>
    <xf numFmtId="0" fontId="0" fillId="14" borderId="0" xfId="0" applyFill="1" applyBorder="1" applyAlignment="1">
      <alignment wrapText="1"/>
    </xf>
    <xf numFmtId="168" fontId="0" fillId="14" borderId="0" xfId="0" applyNumberFormat="1" applyFill="1" applyBorder="1" applyAlignment="1">
      <alignment wrapText="1"/>
    </xf>
    <xf numFmtId="0" fontId="0" fillId="14" borderId="0" xfId="0" applyNumberFormat="1" applyFill="1" applyBorder="1" applyAlignment="1">
      <alignment wrapText="1"/>
    </xf>
    <xf numFmtId="168" fontId="0" fillId="14" borderId="0" xfId="2" applyNumberFormat="1" applyFont="1" applyFill="1" applyBorder="1" applyAlignment="1">
      <alignment wrapText="1"/>
    </xf>
    <xf numFmtId="0" fontId="2" fillId="14" borderId="0" xfId="0" applyFont="1" applyFill="1" applyBorder="1" applyAlignment="1">
      <alignment horizontal="center" wrapText="1"/>
    </xf>
    <xf numFmtId="172" fontId="0" fillId="0" borderId="0" xfId="0" applyNumberFormat="1" applyFont="1" applyFill="1" applyBorder="1" applyAlignment="1">
      <alignment wrapText="1"/>
    </xf>
    <xf numFmtId="2" fontId="0" fillId="6" borderId="0" xfId="0" applyNumberFormat="1" applyFill="1" applyBorder="1" applyAlignment="1">
      <alignment wrapText="1"/>
    </xf>
    <xf numFmtId="2" fontId="0" fillId="14" borderId="0" xfId="0" applyNumberFormat="1" applyFill="1" applyBorder="1" applyAlignment="1">
      <alignment wrapText="1"/>
    </xf>
    <xf numFmtId="0" fontId="0" fillId="15" borderId="0" xfId="0" applyFill="1" applyBorder="1" applyAlignment="1">
      <alignment horizontal="center" wrapText="1"/>
    </xf>
    <xf numFmtId="0" fontId="0" fillId="15" borderId="0" xfId="0" applyFill="1" applyBorder="1" applyAlignment="1">
      <alignment wrapText="1"/>
    </xf>
    <xf numFmtId="168" fontId="0" fillId="15" borderId="0" xfId="0" applyNumberFormat="1" applyFill="1" applyBorder="1" applyAlignment="1">
      <alignment wrapText="1"/>
    </xf>
    <xf numFmtId="0" fontId="0" fillId="15" borderId="0" xfId="0" applyNumberFormat="1" applyFill="1" applyBorder="1" applyAlignment="1">
      <alignment wrapText="1"/>
    </xf>
    <xf numFmtId="168" fontId="0" fillId="15" borderId="0" xfId="2" applyNumberFormat="1" applyFont="1" applyFill="1" applyBorder="1" applyAlignment="1">
      <alignment wrapText="1"/>
    </xf>
    <xf numFmtId="0" fontId="2" fillId="15" borderId="0" xfId="0" applyFont="1" applyFill="1" applyBorder="1" applyAlignment="1">
      <alignment horizontal="center" wrapText="1"/>
    </xf>
    <xf numFmtId="0" fontId="0" fillId="0" borderId="0" xfId="0" applyFont="1" applyAlignment="1">
      <alignment wrapText="1"/>
    </xf>
    <xf numFmtId="0" fontId="13" fillId="0" borderId="0" xfId="0" applyFont="1" applyFill="1" applyBorder="1" applyAlignment="1">
      <alignment wrapText="1"/>
    </xf>
    <xf numFmtId="0" fontId="17" fillId="0" borderId="1" xfId="0" applyNumberFormat="1" applyFont="1" applyFill="1" applyBorder="1" applyAlignment="1">
      <alignment horizontal="center" wrapText="1"/>
    </xf>
    <xf numFmtId="0" fontId="0" fillId="0" borderId="1" xfId="0" applyNumberFormat="1" applyFill="1" applyBorder="1" applyAlignment="1">
      <alignment horizontal="center"/>
    </xf>
    <xf numFmtId="2" fontId="0" fillId="0" borderId="0" xfId="0" applyNumberFormat="1" applyBorder="1" applyAlignment="1">
      <alignment horizontal="center" wrapText="1"/>
    </xf>
    <xf numFmtId="168" fontId="0" fillId="6" borderId="0" xfId="0" applyNumberFormat="1" applyFill="1" applyAlignment="1">
      <alignment wrapText="1"/>
    </xf>
    <xf numFmtId="3" fontId="0" fillId="6" borderId="0" xfId="0" applyNumberFormat="1" applyFill="1" applyAlignment="1">
      <alignment wrapText="1"/>
    </xf>
    <xf numFmtId="2" fontId="0" fillId="6" borderId="0" xfId="0" applyNumberFormat="1" applyFill="1" applyAlignment="1">
      <alignment wrapText="1"/>
    </xf>
    <xf numFmtId="168" fontId="0" fillId="6" borderId="0" xfId="2" applyNumberFormat="1" applyFont="1" applyFill="1" applyAlignment="1">
      <alignment wrapText="1"/>
    </xf>
    <xf numFmtId="1" fontId="0" fillId="6" borderId="0" xfId="0" applyNumberFormat="1" applyFill="1" applyAlignment="1">
      <alignment wrapText="1"/>
    </xf>
    <xf numFmtId="171" fontId="2" fillId="0" borderId="2" xfId="0" applyNumberFormat="1" applyFont="1" applyFill="1" applyBorder="1" applyAlignment="1">
      <alignment wrapText="1"/>
    </xf>
    <xf numFmtId="0" fontId="11" fillId="0" borderId="0" xfId="0" applyFont="1" applyAlignment="1">
      <alignment horizontal="left" wrapText="1"/>
    </xf>
    <xf numFmtId="0" fontId="17" fillId="0" borderId="0" xfId="0" applyNumberFormat="1" applyFont="1" applyFill="1" applyBorder="1" applyAlignment="1">
      <alignment horizontal="center" wrapText="1"/>
    </xf>
    <xf numFmtId="0" fontId="0" fillId="0" borderId="0" xfId="0" applyNumberFormat="1" applyFill="1" applyBorder="1" applyAlignment="1">
      <alignment horizontal="center"/>
    </xf>
    <xf numFmtId="1" fontId="17" fillId="0" borderId="0" xfId="0" applyNumberFormat="1" applyFont="1" applyFill="1" applyBorder="1" applyAlignment="1">
      <alignment horizontal="center" wrapText="1"/>
    </xf>
    <xf numFmtId="168" fontId="13" fillId="0" borderId="0" xfId="0" applyNumberFormat="1" applyFont="1" applyAlignment="1">
      <alignment wrapText="1"/>
    </xf>
    <xf numFmtId="168" fontId="13" fillId="0" borderId="0" xfId="0" applyNumberFormat="1" applyFont="1"/>
    <xf numFmtId="168" fontId="4" fillId="0" borderId="0" xfId="0" applyNumberFormat="1" applyFont="1"/>
    <xf numFmtId="172" fontId="13" fillId="0" borderId="0" xfId="0" applyNumberFormat="1" applyFont="1" applyFill="1" applyBorder="1" applyAlignment="1">
      <alignment wrapText="1"/>
    </xf>
    <xf numFmtId="0" fontId="0" fillId="0" borderId="17" xfId="0" applyFill="1" applyBorder="1" applyAlignment="1">
      <alignment wrapText="1"/>
    </xf>
    <xf numFmtId="0" fontId="17" fillId="0" borderId="17" xfId="0" applyNumberFormat="1" applyFont="1" applyFill="1" applyBorder="1" applyAlignment="1">
      <alignment horizontal="center" wrapText="1"/>
    </xf>
    <xf numFmtId="0" fontId="0" fillId="0" borderId="17" xfId="0" applyNumberFormat="1" applyFill="1" applyBorder="1" applyAlignment="1">
      <alignment horizontal="center"/>
    </xf>
    <xf numFmtId="0" fontId="0" fillId="0" borderId="17" xfId="0" applyNumberFormat="1" applyFill="1" applyBorder="1" applyAlignment="1">
      <alignment horizontal="center" wrapText="1"/>
    </xf>
    <xf numFmtId="0" fontId="0" fillId="0" borderId="0" xfId="0" applyNumberFormat="1" applyFill="1" applyBorder="1" applyAlignment="1">
      <alignment horizontal="center" wrapText="1"/>
    </xf>
    <xf numFmtId="0" fontId="0" fillId="0" borderId="1" xfId="0" applyFill="1" applyBorder="1" applyAlignment="1">
      <alignment wrapText="1"/>
    </xf>
    <xf numFmtId="0" fontId="0" fillId="0" borderId="1" xfId="0" applyNumberFormat="1" applyFill="1" applyBorder="1" applyAlignment="1">
      <alignment horizontal="center" wrapText="1"/>
    </xf>
    <xf numFmtId="0" fontId="17" fillId="0" borderId="17" xfId="0" applyNumberFormat="1" applyFont="1" applyFill="1" applyBorder="1" applyAlignment="1">
      <alignment horizontal="center"/>
    </xf>
    <xf numFmtId="0" fontId="17" fillId="0" borderId="0" xfId="0" applyNumberFormat="1" applyFont="1" applyFill="1" applyBorder="1" applyAlignment="1">
      <alignment horizontal="center"/>
    </xf>
    <xf numFmtId="0" fontId="17" fillId="0" borderId="1" xfId="0" applyNumberFormat="1" applyFont="1" applyFill="1" applyBorder="1" applyAlignment="1">
      <alignment horizontal="center"/>
    </xf>
    <xf numFmtId="0" fontId="17" fillId="0" borderId="0" xfId="0" applyNumberFormat="1" applyFont="1" applyBorder="1" applyAlignment="1">
      <alignment horizontal="center"/>
    </xf>
    <xf numFmtId="0" fontId="17" fillId="0" borderId="17" xfId="0" applyNumberFormat="1" applyFont="1" applyBorder="1" applyAlignment="1">
      <alignment horizontal="center"/>
    </xf>
    <xf numFmtId="0" fontId="0" fillId="0" borderId="17" xfId="0" applyNumberFormat="1" applyBorder="1" applyAlignment="1">
      <alignment horizontal="center"/>
    </xf>
    <xf numFmtId="1" fontId="17" fillId="0" borderId="0" xfId="0" applyNumberFormat="1" applyFont="1" applyFill="1" applyBorder="1" applyAlignment="1">
      <alignment horizontal="center"/>
    </xf>
    <xf numFmtId="0" fontId="2" fillId="15" borderId="0" xfId="0" applyFont="1" applyFill="1" applyAlignment="1">
      <alignment horizontal="center" wrapText="1"/>
    </xf>
    <xf numFmtId="0" fontId="5" fillId="15" borderId="0" xfId="0" applyFont="1" applyFill="1" applyAlignment="1">
      <alignment wrapText="1"/>
    </xf>
    <xf numFmtId="168" fontId="0" fillId="15" borderId="0" xfId="0" applyNumberFormat="1" applyFont="1" applyFill="1" applyAlignment="1">
      <alignment wrapText="1"/>
    </xf>
    <xf numFmtId="0" fontId="0" fillId="15" borderId="0" xfId="0" applyFont="1" applyFill="1" applyAlignment="1">
      <alignment wrapText="1"/>
    </xf>
    <xf numFmtId="168" fontId="1" fillId="15" borderId="0" xfId="2" applyNumberFormat="1" applyFont="1" applyFill="1" applyAlignment="1">
      <alignment wrapText="1"/>
    </xf>
    <xf numFmtId="2" fontId="0" fillId="15" borderId="0" xfId="0" applyNumberFormat="1" applyFont="1" applyFill="1" applyAlignment="1">
      <alignment wrapText="1"/>
    </xf>
    <xf numFmtId="169" fontId="0" fillId="0" borderId="0" xfId="1" applyNumberFormat="1" applyFont="1"/>
    <xf numFmtId="174" fontId="0" fillId="0" borderId="0" xfId="4" applyNumberFormat="1" applyFont="1"/>
    <xf numFmtId="168" fontId="0" fillId="0" borderId="0" xfId="0" applyNumberFormat="1" applyBorder="1"/>
    <xf numFmtId="0" fontId="2" fillId="0" borderId="0" xfId="0" applyFont="1" applyFill="1" applyAlignment="1">
      <alignment horizontal="center" wrapText="1"/>
    </xf>
    <xf numFmtId="168" fontId="0" fillId="15" borderId="0" xfId="0" applyNumberFormat="1" applyFill="1" applyAlignment="1">
      <alignment wrapText="1"/>
    </xf>
    <xf numFmtId="0" fontId="0" fillId="15" borderId="0" xfId="0" applyFill="1" applyAlignment="1">
      <alignment wrapText="1"/>
    </xf>
    <xf numFmtId="168" fontId="0" fillId="15" borderId="0" xfId="2" applyNumberFormat="1" applyFont="1" applyFill="1" applyAlignment="1">
      <alignment wrapText="1"/>
    </xf>
    <xf numFmtId="2" fontId="0" fillId="15" borderId="0" xfId="0" applyNumberFormat="1" applyFill="1" applyAlignment="1">
      <alignment wrapText="1"/>
    </xf>
    <xf numFmtId="0" fontId="0" fillId="0" borderId="0" xfId="0" applyFill="1" applyBorder="1"/>
    <xf numFmtId="169" fontId="0" fillId="0" borderId="0" xfId="1" applyNumberFormat="1" applyFont="1" applyFill="1" applyBorder="1"/>
    <xf numFmtId="0" fontId="17" fillId="0" borderId="0" xfId="0" applyFont="1" applyFill="1" applyAlignment="1">
      <alignment horizontal="center"/>
    </xf>
    <xf numFmtId="0" fontId="0" fillId="0" borderId="0" xfId="0" applyFont="1" applyBorder="1" applyAlignment="1">
      <alignment wrapText="1"/>
    </xf>
    <xf numFmtId="0" fontId="0" fillId="0" borderId="0" xfId="0" applyNumberFormat="1" applyFont="1" applyBorder="1" applyAlignment="1">
      <alignment horizontal="center"/>
    </xf>
    <xf numFmtId="0" fontId="0" fillId="0" borderId="1" xfId="0" applyFont="1" applyBorder="1" applyAlignment="1">
      <alignment wrapText="1"/>
    </xf>
    <xf numFmtId="0" fontId="0" fillId="0" borderId="1" xfId="0" applyNumberFormat="1" applyFont="1" applyBorder="1" applyAlignment="1">
      <alignment horizontal="center"/>
    </xf>
    <xf numFmtId="0" fontId="0" fillId="0" borderId="0" xfId="0" applyFont="1" applyFill="1" applyBorder="1" applyAlignment="1">
      <alignment wrapText="1"/>
    </xf>
    <xf numFmtId="0" fontId="0" fillId="0" borderId="0" xfId="0" applyNumberFormat="1" applyFont="1" applyFill="1" applyBorder="1" applyAlignment="1">
      <alignment horizontal="center"/>
    </xf>
    <xf numFmtId="0" fontId="0" fillId="0" borderId="0" xfId="0" applyNumberFormat="1" applyFont="1" applyFill="1" applyBorder="1" applyAlignment="1">
      <alignment horizontal="center" wrapText="1"/>
    </xf>
    <xf numFmtId="0" fontId="26" fillId="0" borderId="0" xfId="0" applyFont="1" applyBorder="1" applyAlignment="1">
      <alignment wrapText="1"/>
    </xf>
    <xf numFmtId="168" fontId="28" fillId="0" borderId="0" xfId="0" applyNumberFormat="1" applyFont="1" applyBorder="1" applyAlignment="1">
      <alignment horizontal="center" wrapText="1"/>
    </xf>
    <xf numFmtId="168" fontId="29" fillId="0" borderId="0" xfId="0" applyNumberFormat="1" applyFont="1" applyBorder="1" applyAlignment="1">
      <alignment horizontal="center"/>
    </xf>
    <xf numFmtId="168" fontId="29" fillId="0" borderId="0" xfId="0" applyNumberFormat="1" applyFont="1" applyBorder="1" applyAlignment="1">
      <alignment horizontal="center" wrapText="1"/>
    </xf>
    <xf numFmtId="0" fontId="26" fillId="0" borderId="0" xfId="0" applyFont="1" applyFill="1" applyBorder="1" applyAlignment="1">
      <alignment wrapText="1"/>
    </xf>
    <xf numFmtId="168" fontId="29" fillId="0" borderId="0" xfId="0" applyNumberFormat="1" applyFont="1" applyFill="1" applyBorder="1" applyAlignment="1">
      <alignment horizontal="center" wrapText="1"/>
    </xf>
    <xf numFmtId="165" fontId="30" fillId="18" borderId="0" xfId="0" applyNumberFormat="1" applyFont="1" applyFill="1" applyBorder="1" applyAlignment="1">
      <alignment horizontal="center" vertical="center" wrapText="1"/>
    </xf>
    <xf numFmtId="0" fontId="26" fillId="0" borderId="1" xfId="0" applyFont="1" applyBorder="1" applyAlignment="1">
      <alignment wrapText="1"/>
    </xf>
    <xf numFmtId="168" fontId="29" fillId="0" borderId="1" xfId="0" applyNumberFormat="1" applyFont="1" applyFill="1" applyBorder="1" applyAlignment="1">
      <alignment horizontal="center" wrapText="1"/>
    </xf>
    <xf numFmtId="0" fontId="29" fillId="0" borderId="17" xfId="0" applyFont="1" applyBorder="1" applyAlignment="1">
      <alignment wrapText="1"/>
    </xf>
    <xf numFmtId="168" fontId="28" fillId="0" borderId="17" xfId="0" applyNumberFormat="1" applyFont="1" applyBorder="1" applyAlignment="1">
      <alignment horizontal="center" wrapText="1"/>
    </xf>
    <xf numFmtId="168" fontId="29" fillId="0" borderId="17" xfId="0" applyNumberFormat="1" applyFont="1" applyBorder="1" applyAlignment="1">
      <alignment horizontal="center"/>
    </xf>
    <xf numFmtId="168" fontId="29" fillId="0" borderId="17" xfId="0" applyNumberFormat="1" applyFont="1" applyBorder="1" applyAlignment="1">
      <alignment horizontal="center" wrapText="1"/>
    </xf>
    <xf numFmtId="0" fontId="29" fillId="0" borderId="0" xfId="0" applyFont="1" applyBorder="1" applyAlignment="1">
      <alignment wrapText="1"/>
    </xf>
    <xf numFmtId="168" fontId="0" fillId="0" borderId="0" xfId="0" applyNumberFormat="1" applyFont="1" applyBorder="1" applyAlignment="1">
      <alignment horizontal="center"/>
    </xf>
    <xf numFmtId="168" fontId="0" fillId="0" borderId="0" xfId="0" applyNumberFormat="1" applyFont="1" applyBorder="1" applyAlignment="1">
      <alignment horizontal="center" wrapText="1"/>
    </xf>
    <xf numFmtId="168" fontId="0" fillId="0" borderId="0" xfId="0" applyNumberFormat="1" applyFont="1" applyFill="1" applyBorder="1" applyAlignment="1">
      <alignment horizontal="center"/>
    </xf>
    <xf numFmtId="168" fontId="0" fillId="0" borderId="0" xfId="0" applyNumberFormat="1" applyFont="1" applyFill="1" applyBorder="1" applyAlignment="1">
      <alignment horizontal="center" wrapText="1"/>
    </xf>
    <xf numFmtId="168" fontId="0" fillId="0" borderId="1" xfId="0" applyNumberFormat="1" applyFont="1" applyBorder="1" applyAlignment="1">
      <alignment horizontal="center"/>
    </xf>
    <xf numFmtId="168" fontId="0" fillId="0" borderId="1" xfId="0" applyNumberFormat="1" applyFont="1" applyBorder="1" applyAlignment="1">
      <alignment horizontal="center" wrapText="1"/>
    </xf>
    <xf numFmtId="0" fontId="2" fillId="0" borderId="0" xfId="0" applyFont="1" applyFill="1" applyBorder="1" applyAlignment="1">
      <alignment wrapText="1"/>
    </xf>
    <xf numFmtId="2" fontId="17" fillId="0" borderId="0" xfId="0" applyNumberFormat="1" applyFont="1" applyFill="1" applyBorder="1" applyAlignment="1">
      <alignment horizontal="center" wrapText="1"/>
    </xf>
    <xf numFmtId="2" fontId="0" fillId="0" borderId="0" xfId="0" applyNumberFormat="1" applyFill="1" applyBorder="1" applyAlignment="1">
      <alignment horizontal="center" wrapText="1"/>
    </xf>
    <xf numFmtId="3" fontId="4" fillId="5" borderId="12" xfId="0" applyNumberFormat="1" applyFont="1" applyFill="1" applyBorder="1" applyAlignment="1">
      <alignment horizontal="center" vertical="center" wrapText="1"/>
    </xf>
    <xf numFmtId="0" fontId="0" fillId="0" borderId="1" xfId="0" applyBorder="1"/>
    <xf numFmtId="168" fontId="0" fillId="11" borderId="2" xfId="0" applyNumberFormat="1" applyFill="1" applyBorder="1" applyAlignment="1">
      <alignment horizontal="center" wrapText="1"/>
    </xf>
    <xf numFmtId="168" fontId="0" fillId="11" borderId="2" xfId="0" applyNumberFormat="1" applyFill="1" applyBorder="1" applyAlignment="1">
      <alignment horizontal="center" wrapText="1"/>
    </xf>
    <xf numFmtId="0" fontId="0" fillId="15" borderId="0" xfId="0" applyFill="1" applyAlignment="1">
      <alignment horizontal="center" wrapText="1"/>
    </xf>
    <xf numFmtId="2" fontId="0" fillId="15" borderId="0" xfId="0" applyNumberFormat="1" applyFill="1" applyBorder="1" applyAlignment="1">
      <alignment wrapText="1"/>
    </xf>
    <xf numFmtId="4" fontId="13" fillId="0" borderId="0" xfId="0" applyNumberFormat="1" applyFont="1" applyFill="1" applyBorder="1"/>
    <xf numFmtId="4" fontId="13" fillId="0" borderId="1" xfId="0" applyNumberFormat="1" applyFont="1" applyFill="1" applyBorder="1"/>
    <xf numFmtId="0" fontId="2" fillId="14" borderId="1" xfId="0" applyFont="1" applyFill="1" applyBorder="1" applyAlignment="1">
      <alignment horizontal="center" wrapText="1"/>
    </xf>
    <xf numFmtId="2" fontId="0" fillId="0" borderId="0" xfId="0" applyNumberFormat="1" applyFill="1" applyBorder="1" applyAlignment="1">
      <alignment wrapText="1"/>
    </xf>
    <xf numFmtId="4" fontId="0" fillId="0" borderId="0" xfId="0" applyNumberFormat="1"/>
    <xf numFmtId="4" fontId="0" fillId="0" borderId="1" xfId="0" applyNumberFormat="1" applyBorder="1"/>
    <xf numFmtId="2" fontId="13" fillId="11" borderId="2" xfId="0" applyNumberFormat="1" applyFont="1" applyFill="1" applyBorder="1" applyAlignment="1">
      <alignment wrapText="1"/>
    </xf>
    <xf numFmtId="4" fontId="13" fillId="0" borderId="17" xfId="0" applyNumberFormat="1" applyFont="1" applyFill="1" applyBorder="1"/>
    <xf numFmtId="0" fontId="3" fillId="0" borderId="0" xfId="0" applyFont="1" applyAlignment="1">
      <alignment horizontal="center" vertical="top" wrapText="1"/>
    </xf>
    <xf numFmtId="0" fontId="31" fillId="0" borderId="1" xfId="0" applyFont="1" applyBorder="1" applyAlignment="1">
      <alignment wrapText="1"/>
    </xf>
    <xf numFmtId="0" fontId="32" fillId="0" borderId="0" xfId="0" applyFont="1" applyAlignment="1">
      <alignment wrapText="1"/>
    </xf>
    <xf numFmtId="0" fontId="33" fillId="0" borderId="0" xfId="0" applyFont="1"/>
    <xf numFmtId="4" fontId="0" fillId="0" borderId="0" xfId="0" applyNumberFormat="1" applyFill="1"/>
    <xf numFmtId="4" fontId="0" fillId="0" borderId="1" xfId="0" applyNumberFormat="1" applyFill="1" applyBorder="1"/>
    <xf numFmtId="0" fontId="2" fillId="0" borderId="0" xfId="0" applyFont="1" applyBorder="1" applyAlignment="1">
      <alignment horizontal="right" wrapText="1"/>
    </xf>
    <xf numFmtId="172" fontId="0" fillId="0" borderId="1" xfId="0" applyNumberFormat="1" applyFont="1" applyFill="1" applyBorder="1" applyAlignment="1">
      <alignment wrapText="1"/>
    </xf>
    <xf numFmtId="172" fontId="13" fillId="0" borderId="1" xfId="0" applyNumberFormat="1" applyFont="1" applyFill="1" applyBorder="1" applyAlignment="1">
      <alignment wrapText="1"/>
    </xf>
    <xf numFmtId="0" fontId="3" fillId="0" borderId="0" xfId="0" applyFont="1" applyBorder="1" applyAlignment="1">
      <alignment horizontal="right" wrapText="1"/>
    </xf>
    <xf numFmtId="2" fontId="0" fillId="0" borderId="17" xfId="0" applyNumberFormat="1" applyBorder="1"/>
    <xf numFmtId="172" fontId="13" fillId="0" borderId="17" xfId="0" applyNumberFormat="1" applyFont="1" applyFill="1" applyBorder="1" applyAlignment="1">
      <alignment wrapText="1"/>
    </xf>
    <xf numFmtId="2" fontId="0" fillId="0" borderId="0" xfId="0" applyNumberFormat="1" applyBorder="1"/>
    <xf numFmtId="2" fontId="0" fillId="0" borderId="1" xfId="0" applyNumberFormat="1" applyBorder="1"/>
    <xf numFmtId="0" fontId="13" fillId="0" borderId="1" xfId="0" applyFont="1" applyFill="1" applyBorder="1" applyAlignment="1">
      <alignment wrapText="1"/>
    </xf>
    <xf numFmtId="0" fontId="27" fillId="0" borderId="1" xfId="0" applyFont="1" applyFill="1" applyBorder="1" applyAlignment="1">
      <alignment horizontal="center" vertical="center" wrapText="1"/>
    </xf>
    <xf numFmtId="0" fontId="13" fillId="0" borderId="0" xfId="0" applyFont="1" applyFill="1" applyBorder="1" applyAlignment="1"/>
    <xf numFmtId="0" fontId="13" fillId="0" borderId="1" xfId="0" applyFont="1" applyFill="1" applyBorder="1" applyAlignment="1"/>
    <xf numFmtId="172" fontId="6" fillId="0" borderId="0" xfId="0" applyNumberFormat="1" applyFont="1" applyFill="1" applyBorder="1" applyAlignment="1"/>
    <xf numFmtId="172" fontId="2" fillId="3" borderId="1" xfId="0" applyNumberFormat="1" applyFont="1" applyFill="1" applyBorder="1" applyAlignment="1">
      <alignment wrapText="1"/>
    </xf>
    <xf numFmtId="172" fontId="4" fillId="3" borderId="1" xfId="0" applyNumberFormat="1" applyFont="1" applyFill="1" applyBorder="1" applyAlignment="1">
      <alignment wrapText="1"/>
    </xf>
    <xf numFmtId="1" fontId="13" fillId="0" borderId="1" xfId="0" applyNumberFormat="1" applyFont="1" applyFill="1" applyBorder="1" applyAlignment="1">
      <alignment horizontal="center" wrapText="1"/>
    </xf>
    <xf numFmtId="0" fontId="26" fillId="0" borderId="1" xfId="0" applyFont="1" applyFill="1" applyBorder="1" applyAlignment="1">
      <alignment horizontal="center" vertical="center" wrapText="1"/>
    </xf>
    <xf numFmtId="172" fontId="0" fillId="0" borderId="17" xfId="0" applyNumberFormat="1" applyFont="1" applyFill="1" applyBorder="1" applyAlignment="1">
      <alignment wrapText="1"/>
    </xf>
    <xf numFmtId="0" fontId="0" fillId="5" borderId="15" xfId="0" applyFont="1" applyFill="1" applyBorder="1" applyAlignment="1">
      <alignment horizontal="right" vertical="center" wrapText="1"/>
    </xf>
    <xf numFmtId="3" fontId="3" fillId="5" borderId="16" xfId="0" applyNumberFormat="1" applyFont="1" applyFill="1" applyBorder="1" applyAlignment="1">
      <alignment horizontal="center" vertical="center" wrapText="1"/>
    </xf>
    <xf numFmtId="0" fontId="0" fillId="0" borderId="17" xfId="0" applyFont="1" applyFill="1" applyBorder="1" applyAlignment="1">
      <alignment wrapText="1"/>
    </xf>
    <xf numFmtId="0" fontId="0" fillId="0" borderId="17" xfId="0" applyNumberFormat="1" applyFont="1" applyFill="1" applyBorder="1" applyAlignment="1">
      <alignment horizontal="center"/>
    </xf>
    <xf numFmtId="0" fontId="13" fillId="0" borderId="17" xfId="0" applyNumberFormat="1" applyFont="1" applyFill="1" applyBorder="1" applyAlignment="1">
      <alignment horizontal="center" wrapText="1"/>
    </xf>
    <xf numFmtId="0" fontId="26" fillId="0" borderId="0" xfId="0" applyFont="1" applyFill="1" applyBorder="1" applyAlignment="1">
      <alignment horizontal="center" vertical="center" wrapText="1"/>
    </xf>
    <xf numFmtId="0" fontId="13" fillId="0" borderId="0" xfId="0" applyFont="1" applyFill="1" applyBorder="1" applyAlignment="1">
      <alignment vertical="center" wrapText="1"/>
    </xf>
    <xf numFmtId="0" fontId="26" fillId="0" borderId="0" xfId="0" applyNumberFormat="1" applyFont="1" applyFill="1" applyBorder="1" applyAlignment="1">
      <alignment horizontal="center" vertical="center" wrapText="1"/>
    </xf>
    <xf numFmtId="0" fontId="26" fillId="0" borderId="0" xfId="0" applyNumberFormat="1" applyFont="1" applyFill="1" applyBorder="1" applyAlignment="1">
      <alignment horizontal="center" wrapText="1"/>
    </xf>
    <xf numFmtId="1" fontId="13" fillId="0" borderId="0" xfId="0" applyNumberFormat="1" applyFont="1" applyFill="1" applyBorder="1" applyAlignment="1">
      <alignment horizontal="center" wrapText="1"/>
    </xf>
    <xf numFmtId="0" fontId="35" fillId="0" borderId="0" xfId="0" applyFont="1" applyFill="1" applyBorder="1" applyAlignment="1">
      <alignment wrapText="1"/>
    </xf>
    <xf numFmtId="173" fontId="36" fillId="0" borderId="0" xfId="0" applyNumberFormat="1" applyFont="1" applyFill="1" applyBorder="1" applyAlignment="1">
      <alignment wrapText="1"/>
    </xf>
    <xf numFmtId="0" fontId="3" fillId="0" borderId="0" xfId="0" applyFont="1" applyFill="1" applyBorder="1" applyAlignment="1">
      <alignment horizontal="right" wrapText="1"/>
    </xf>
    <xf numFmtId="0" fontId="2" fillId="0" borderId="0" xfId="0" applyFont="1" applyFill="1" applyBorder="1" applyAlignment="1">
      <alignment horizontal="right" wrapText="1"/>
    </xf>
    <xf numFmtId="0" fontId="0" fillId="0" borderId="0" xfId="0" applyBorder="1"/>
    <xf numFmtId="0" fontId="4" fillId="0" borderId="0" xfId="0" applyFont="1" applyFill="1" applyBorder="1" applyAlignment="1">
      <alignment wrapText="1"/>
    </xf>
    <xf numFmtId="1" fontId="0" fillId="0" borderId="0" xfId="0" applyNumberFormat="1" applyFill="1" applyBorder="1"/>
    <xf numFmtId="1" fontId="0" fillId="0" borderId="1" xfId="0" applyNumberFormat="1" applyFill="1" applyBorder="1"/>
    <xf numFmtId="1" fontId="9" fillId="0" borderId="0" xfId="0" applyNumberFormat="1" applyFont="1"/>
    <xf numFmtId="172" fontId="9" fillId="0" borderId="0" xfId="0" applyNumberFormat="1" applyFont="1" applyAlignment="1">
      <alignment horizontal="center"/>
    </xf>
    <xf numFmtId="1" fontId="9" fillId="0" borderId="0" xfId="0" applyNumberFormat="1" applyFont="1" applyAlignment="1">
      <alignment horizontal="center"/>
    </xf>
    <xf numFmtId="172" fontId="9" fillId="0" borderId="1" xfId="0" applyNumberFormat="1" applyFont="1" applyBorder="1" applyAlignment="1">
      <alignment horizontal="center"/>
    </xf>
    <xf numFmtId="1" fontId="9" fillId="0" borderId="0" xfId="0" applyNumberFormat="1" applyFont="1" applyFill="1" applyAlignment="1">
      <alignment horizontal="center"/>
    </xf>
    <xf numFmtId="0" fontId="9" fillId="0" borderId="0" xfId="0" applyNumberFormat="1" applyFont="1" applyAlignment="1">
      <alignment horizontal="center"/>
    </xf>
    <xf numFmtId="0" fontId="9" fillId="0" borderId="1" xfId="0" applyNumberFormat="1" applyFont="1" applyBorder="1" applyAlignment="1">
      <alignment horizontal="center"/>
    </xf>
    <xf numFmtId="0" fontId="17" fillId="0" borderId="0" xfId="0" applyNumberFormat="1" applyFont="1" applyFill="1" applyAlignment="1">
      <alignment horizontal="center"/>
    </xf>
    <xf numFmtId="0" fontId="9" fillId="0" borderId="0" xfId="0" applyNumberFormat="1" applyFont="1" applyFill="1" applyAlignment="1">
      <alignment horizontal="center"/>
    </xf>
    <xf numFmtId="0" fontId="9" fillId="0" borderId="17" xfId="0" applyNumberFormat="1" applyFont="1" applyFill="1" applyBorder="1" applyAlignment="1">
      <alignment horizontal="center" wrapText="1"/>
    </xf>
    <xf numFmtId="172" fontId="40" fillId="0" borderId="0" xfId="0" applyNumberFormat="1" applyFont="1" applyFill="1" applyBorder="1" applyAlignment="1"/>
    <xf numFmtId="172" fontId="0" fillId="0" borderId="24" xfId="0" applyNumberFormat="1" applyFont="1" applyFill="1" applyBorder="1" applyAlignment="1">
      <alignment wrapText="1"/>
    </xf>
    <xf numFmtId="172" fontId="0" fillId="0" borderId="25" xfId="0" applyNumberFormat="1" applyFont="1" applyFill="1" applyBorder="1" applyAlignment="1">
      <alignment wrapText="1"/>
    </xf>
    <xf numFmtId="10" fontId="0" fillId="0" borderId="0" xfId="4" applyNumberFormat="1" applyFont="1" applyFill="1" applyBorder="1" applyAlignment="1">
      <alignment wrapText="1"/>
    </xf>
    <xf numFmtId="175" fontId="0" fillId="0" borderId="0" xfId="4" applyNumberFormat="1" applyFont="1" applyFill="1" applyBorder="1" applyAlignment="1">
      <alignment wrapText="1"/>
    </xf>
    <xf numFmtId="175" fontId="0" fillId="0" borderId="1" xfId="4" applyNumberFormat="1" applyFont="1" applyFill="1" applyBorder="1" applyAlignment="1">
      <alignment wrapText="1"/>
    </xf>
    <xf numFmtId="175" fontId="0" fillId="0" borderId="0" xfId="4" applyNumberFormat="1" applyFont="1" applyBorder="1"/>
    <xf numFmtId="10" fontId="0" fillId="0" borderId="0" xfId="4" applyNumberFormat="1" applyFont="1" applyBorder="1"/>
    <xf numFmtId="9" fontId="0" fillId="0" borderId="0" xfId="4" applyFont="1" applyBorder="1"/>
    <xf numFmtId="172" fontId="2" fillId="15" borderId="15" xfId="0" applyNumberFormat="1" applyFont="1" applyFill="1" applyBorder="1" applyAlignment="1">
      <alignment horizontal="right" wrapText="1"/>
    </xf>
    <xf numFmtId="172" fontId="0" fillId="0" borderId="4" xfId="0" applyNumberFormat="1" applyFont="1" applyFill="1" applyBorder="1" applyAlignment="1">
      <alignment horizontal="right" wrapText="1"/>
    </xf>
    <xf numFmtId="175" fontId="0" fillId="0" borderId="14" xfId="4" applyNumberFormat="1" applyFont="1" applyFill="1" applyBorder="1" applyAlignment="1">
      <alignment wrapText="1"/>
    </xf>
    <xf numFmtId="168" fontId="0" fillId="0" borderId="4" xfId="0" applyNumberFormat="1" applyBorder="1"/>
    <xf numFmtId="175" fontId="0" fillId="0" borderId="14" xfId="4" applyNumberFormat="1" applyFont="1" applyBorder="1"/>
    <xf numFmtId="172" fontId="0" fillId="0" borderId="5" xfId="0" applyNumberFormat="1" applyFont="1" applyFill="1" applyBorder="1" applyAlignment="1">
      <alignment horizontal="right" wrapText="1"/>
    </xf>
    <xf numFmtId="175" fontId="0" fillId="0" borderId="6" xfId="4" applyNumberFormat="1" applyFont="1" applyFill="1" applyBorder="1" applyAlignment="1">
      <alignment wrapText="1"/>
    </xf>
    <xf numFmtId="168" fontId="0" fillId="0" borderId="24" xfId="0" applyNumberFormat="1" applyBorder="1"/>
    <xf numFmtId="168" fontId="0" fillId="0" borderId="11" xfId="0" applyNumberFormat="1" applyBorder="1"/>
    <xf numFmtId="168" fontId="0" fillId="0" borderId="26" xfId="0" applyNumberFormat="1" applyBorder="1"/>
    <xf numFmtId="175" fontId="0" fillId="0" borderId="22" xfId="4" applyNumberFormat="1" applyFont="1" applyBorder="1"/>
    <xf numFmtId="175" fontId="0" fillId="0" borderId="12" xfId="4" applyNumberFormat="1" applyFont="1" applyBorder="1"/>
    <xf numFmtId="168" fontId="13" fillId="0" borderId="22" xfId="0" applyNumberFormat="1" applyFont="1" applyBorder="1" applyAlignment="1">
      <alignment wrapText="1"/>
    </xf>
    <xf numFmtId="168" fontId="4" fillId="0" borderId="2" xfId="0" applyNumberFormat="1" applyFont="1" applyFill="1" applyBorder="1"/>
    <xf numFmtId="168" fontId="4" fillId="0" borderId="1" xfId="0" applyNumberFormat="1" applyFont="1" applyFill="1" applyBorder="1" applyAlignment="1">
      <alignment wrapText="1"/>
    </xf>
    <xf numFmtId="172" fontId="0" fillId="0" borderId="0" xfId="0" applyNumberFormat="1"/>
    <xf numFmtId="171" fontId="0" fillId="0" borderId="0" xfId="0" applyNumberFormat="1"/>
    <xf numFmtId="171" fontId="0" fillId="0" borderId="0" xfId="0" applyNumberFormat="1" applyFont="1" applyFill="1" applyBorder="1"/>
    <xf numFmtId="171" fontId="17" fillId="0" borderId="0" xfId="0" applyNumberFormat="1" applyFont="1" applyFill="1" applyBorder="1"/>
    <xf numFmtId="171" fontId="13" fillId="0" borderId="0" xfId="0" applyNumberFormat="1" applyFont="1"/>
    <xf numFmtId="171" fontId="13" fillId="0" borderId="0" xfId="0" applyNumberFormat="1" applyFont="1" applyFill="1" applyBorder="1"/>
    <xf numFmtId="168" fontId="2" fillId="0" borderId="0" xfId="0" applyNumberFormat="1" applyFont="1"/>
    <xf numFmtId="171" fontId="33" fillId="0" borderId="0" xfId="0" applyNumberFormat="1" applyFont="1"/>
    <xf numFmtId="164" fontId="42" fillId="0" borderId="0" xfId="0" applyNumberFormat="1" applyFont="1"/>
    <xf numFmtId="164" fontId="27" fillId="0" borderId="0" xfId="0" applyNumberFormat="1" applyFont="1"/>
    <xf numFmtId="164" fontId="43" fillId="0" borderId="0" xfId="0" applyNumberFormat="1" applyFont="1"/>
    <xf numFmtId="171" fontId="17" fillId="0" borderId="0" xfId="0" applyNumberFormat="1" applyFont="1" applyFill="1"/>
    <xf numFmtId="164" fontId="0" fillId="0" borderId="0" xfId="0" applyNumberFormat="1" applyAlignment="1">
      <alignment wrapText="1"/>
    </xf>
    <xf numFmtId="165" fontId="0" fillId="0" borderId="0" xfId="0" applyNumberFormat="1" applyAlignment="1">
      <alignment wrapText="1"/>
    </xf>
    <xf numFmtId="165" fontId="44" fillId="0" borderId="0" xfId="0" applyNumberFormat="1" applyFont="1" applyFill="1" applyBorder="1" applyAlignment="1">
      <alignment vertical="center" wrapText="1"/>
    </xf>
    <xf numFmtId="164" fontId="44" fillId="0" borderId="0" xfId="0" applyNumberFormat="1" applyFont="1" applyFill="1" applyBorder="1" applyAlignment="1">
      <alignment vertical="center" wrapText="1"/>
    </xf>
    <xf numFmtId="0" fontId="44" fillId="0" borderId="0" xfId="0" applyFont="1" applyFill="1" applyBorder="1" applyAlignment="1">
      <alignment vertical="center" wrapText="1"/>
    </xf>
    <xf numFmtId="172" fontId="0" fillId="0" borderId="0" xfId="0" applyNumberFormat="1" applyFill="1" applyBorder="1" applyAlignment="1">
      <alignment horizontal="center"/>
    </xf>
    <xf numFmtId="172" fontId="0" fillId="0" borderId="0" xfId="0" applyNumberFormat="1" applyBorder="1" applyAlignment="1">
      <alignment horizontal="center"/>
    </xf>
    <xf numFmtId="2" fontId="17" fillId="0" borderId="17" xfId="0" applyNumberFormat="1" applyFont="1" applyBorder="1" applyAlignment="1">
      <alignment horizontal="center"/>
    </xf>
    <xf numFmtId="172" fontId="0" fillId="0" borderId="17" xfId="0" applyNumberFormat="1" applyFill="1" applyBorder="1" applyAlignment="1">
      <alignment horizontal="center"/>
    </xf>
    <xf numFmtId="2" fontId="17" fillId="0" borderId="0" xfId="0" applyNumberFormat="1" applyFont="1" applyBorder="1" applyAlignment="1">
      <alignment horizontal="center"/>
    </xf>
    <xf numFmtId="2" fontId="17" fillId="0" borderId="1" xfId="0" applyNumberFormat="1" applyFont="1" applyBorder="1" applyAlignment="1">
      <alignment horizontal="center"/>
    </xf>
    <xf numFmtId="172" fontId="0" fillId="0" borderId="1" xfId="0" applyNumberFormat="1" applyFill="1" applyBorder="1" applyAlignment="1">
      <alignment horizontal="center"/>
    </xf>
    <xf numFmtId="0" fontId="45" fillId="0" borderId="0" xfId="0" applyFont="1" applyAlignment="1">
      <alignment wrapText="1"/>
    </xf>
    <xf numFmtId="172" fontId="0" fillId="0" borderId="17" xfId="0" applyNumberFormat="1" applyBorder="1" applyAlignment="1">
      <alignment horizontal="center"/>
    </xf>
    <xf numFmtId="172" fontId="0" fillId="0" borderId="1" xfId="0" applyNumberFormat="1" applyBorder="1" applyAlignment="1">
      <alignment horizontal="center"/>
    </xf>
    <xf numFmtId="0" fontId="21" fillId="12" borderId="6" xfId="0" applyFont="1" applyFill="1" applyBorder="1" applyAlignment="1">
      <alignment horizontal="center"/>
    </xf>
    <xf numFmtId="0" fontId="21" fillId="12" borderId="14" xfId="0" applyFont="1" applyFill="1" applyBorder="1" applyAlignment="1">
      <alignment horizontal="center"/>
    </xf>
    <xf numFmtId="1" fontId="0" fillId="0" borderId="0" xfId="0" applyNumberFormat="1" applyBorder="1"/>
    <xf numFmtId="1" fontId="0" fillId="0" borderId="1" xfId="0" applyNumberFormat="1" applyBorder="1"/>
    <xf numFmtId="168" fontId="17" fillId="0" borderId="1" xfId="0" applyNumberFormat="1" applyFont="1" applyFill="1" applyBorder="1" applyAlignment="1">
      <alignment horizontal="center" wrapText="1"/>
    </xf>
    <xf numFmtId="168" fontId="9" fillId="0" borderId="0" xfId="0" applyNumberFormat="1" applyFont="1" applyFill="1" applyBorder="1"/>
    <xf numFmtId="2" fontId="0" fillId="0" borderId="0" xfId="0" applyNumberFormat="1"/>
    <xf numFmtId="168" fontId="0" fillId="0" borderId="0" xfId="0" applyNumberFormat="1" applyFill="1"/>
    <xf numFmtId="0" fontId="0" fillId="0" borderId="0" xfId="0" applyFill="1"/>
    <xf numFmtId="168" fontId="0" fillId="0" borderId="0" xfId="0" applyNumberFormat="1" applyFill="1" applyBorder="1"/>
    <xf numFmtId="171" fontId="0" fillId="0" borderId="0" xfId="0" applyNumberFormat="1" applyFill="1" applyBorder="1"/>
    <xf numFmtId="0" fontId="0" fillId="0" borderId="0" xfId="0" applyFill="1" applyBorder="1" applyAlignment="1">
      <alignment horizontal="right"/>
    </xf>
    <xf numFmtId="0" fontId="21" fillId="12" borderId="14" xfId="0" applyFont="1" applyFill="1" applyBorder="1" applyAlignment="1">
      <alignment horizontal="center" vertical="center"/>
    </xf>
    <xf numFmtId="1" fontId="21" fillId="12" borderId="14" xfId="0" applyNumberFormat="1" applyFont="1" applyFill="1" applyBorder="1" applyAlignment="1">
      <alignment horizontal="center" vertical="center"/>
    </xf>
    <xf numFmtId="168" fontId="4" fillId="0" borderId="0" xfId="0" applyNumberFormat="1" applyFont="1" applyFill="1" applyBorder="1"/>
    <xf numFmtId="0" fontId="13" fillId="0" borderId="0" xfId="0" applyFont="1" applyFill="1" applyBorder="1"/>
    <xf numFmtId="168" fontId="13" fillId="0" borderId="0" xfId="0" applyNumberFormat="1" applyFont="1" applyFill="1" applyBorder="1"/>
    <xf numFmtId="168" fontId="38" fillId="5" borderId="15" xfId="0" applyNumberFormat="1" applyFont="1" applyFill="1" applyBorder="1" applyAlignment="1" applyProtection="1">
      <alignment wrapText="1"/>
    </xf>
    <xf numFmtId="168" fontId="38" fillId="5" borderId="3" xfId="0" applyNumberFormat="1" applyFont="1" applyFill="1" applyBorder="1" applyAlignment="1" applyProtection="1">
      <alignment wrapText="1"/>
    </xf>
    <xf numFmtId="0" fontId="39" fillId="5" borderId="3" xfId="0" applyFont="1" applyFill="1" applyBorder="1" applyAlignment="1" applyProtection="1">
      <alignment wrapText="1"/>
    </xf>
    <xf numFmtId="0" fontId="38" fillId="5" borderId="3" xfId="0" applyFont="1" applyFill="1" applyBorder="1" applyAlignment="1" applyProtection="1">
      <alignment wrapText="1"/>
    </xf>
    <xf numFmtId="0" fontId="38" fillId="5" borderId="16" xfId="0" applyFont="1" applyFill="1" applyBorder="1" applyAlignment="1" applyProtection="1">
      <alignment wrapText="1"/>
    </xf>
    <xf numFmtId="0" fontId="13" fillId="0" borderId="4" xfId="0" applyFont="1" applyFill="1" applyBorder="1" applyAlignment="1" applyProtection="1"/>
    <xf numFmtId="0" fontId="13" fillId="0" borderId="5" xfId="0" applyFont="1" applyFill="1" applyBorder="1" applyAlignment="1" applyProtection="1"/>
    <xf numFmtId="0" fontId="0" fillId="0" borderId="14" xfId="0" applyBorder="1"/>
    <xf numFmtId="0" fontId="0" fillId="0" borderId="6" xfId="0" applyBorder="1"/>
    <xf numFmtId="0" fontId="0" fillId="0" borderId="1" xfId="0" applyFont="1" applyFill="1" applyBorder="1" applyAlignment="1"/>
    <xf numFmtId="0" fontId="0" fillId="0" borderId="1" xfId="0" applyFill="1" applyBorder="1"/>
    <xf numFmtId="0" fontId="18" fillId="0" borderId="0" xfId="0" applyFont="1" applyFill="1" applyBorder="1" applyAlignment="1">
      <alignment horizontal="center" vertical="center"/>
    </xf>
    <xf numFmtId="0" fontId="21" fillId="0" borderId="0" xfId="0" applyFont="1" applyFill="1" applyBorder="1" applyAlignment="1">
      <alignment horizontal="center"/>
    </xf>
    <xf numFmtId="0" fontId="13" fillId="0" borderId="0" xfId="0" applyFont="1" applyFill="1" applyBorder="1" applyAlignment="1" applyProtection="1"/>
    <xf numFmtId="1" fontId="0" fillId="0" borderId="0" xfId="0" applyNumberFormat="1" applyFill="1" applyBorder="1" applyProtection="1"/>
    <xf numFmtId="168" fontId="2" fillId="0" borderId="9" xfId="0" applyNumberFormat="1" applyFont="1" applyFill="1" applyBorder="1" applyAlignment="1" applyProtection="1">
      <alignment horizontal="right" wrapText="1"/>
    </xf>
    <xf numFmtId="2" fontId="34" fillId="0" borderId="4" xfId="0" applyNumberFormat="1" applyFont="1" applyBorder="1"/>
    <xf numFmtId="2" fontId="34" fillId="0" borderId="5" xfId="0" applyNumberFormat="1" applyFont="1" applyBorder="1"/>
    <xf numFmtId="176" fontId="0" fillId="0" borderId="0" xfId="0" applyNumberFormat="1" applyBorder="1"/>
    <xf numFmtId="176" fontId="0" fillId="0" borderId="1" xfId="0" applyNumberFormat="1" applyBorder="1"/>
    <xf numFmtId="176" fontId="0" fillId="0" borderId="1" xfId="0" applyNumberFormat="1" applyFill="1" applyBorder="1"/>
    <xf numFmtId="177" fontId="0" fillId="0" borderId="0" xfId="0" applyNumberFormat="1" applyBorder="1"/>
    <xf numFmtId="177" fontId="0" fillId="0" borderId="1" xfId="0" applyNumberFormat="1" applyBorder="1"/>
    <xf numFmtId="177" fontId="0" fillId="0" borderId="1" xfId="0" applyNumberFormat="1" applyFill="1" applyBorder="1"/>
    <xf numFmtId="173" fontId="0" fillId="0" borderId="0" xfId="0" applyNumberFormat="1" applyBorder="1"/>
    <xf numFmtId="173" fontId="0" fillId="0" borderId="1" xfId="0" applyNumberFormat="1" applyBorder="1"/>
    <xf numFmtId="173" fontId="0" fillId="0" borderId="1" xfId="0" applyNumberFormat="1" applyFill="1" applyBorder="1"/>
    <xf numFmtId="1" fontId="0" fillId="0" borderId="0" xfId="0" applyNumberFormat="1" applyFont="1" applyFill="1" applyBorder="1" applyAlignment="1">
      <alignment wrapText="1"/>
    </xf>
    <xf numFmtId="1" fontId="0" fillId="0" borderId="1" xfId="0" applyNumberFormat="1" applyFont="1" applyFill="1" applyBorder="1" applyAlignment="1">
      <alignment wrapText="1"/>
    </xf>
    <xf numFmtId="1" fontId="0" fillId="0" borderId="1" xfId="0" applyNumberFormat="1" applyFont="1" applyFill="1" applyBorder="1" applyAlignment="1"/>
    <xf numFmtId="168" fontId="17" fillId="0" borderId="0" xfId="0" applyNumberFormat="1" applyFont="1" applyFill="1" applyAlignment="1">
      <alignment horizontal="center" wrapText="1"/>
    </xf>
    <xf numFmtId="1" fontId="4" fillId="0" borderId="4" xfId="0" applyNumberFormat="1" applyFont="1" applyBorder="1"/>
    <xf numFmtId="1" fontId="4" fillId="0" borderId="5" xfId="0" applyNumberFormat="1" applyFont="1" applyBorder="1"/>
    <xf numFmtId="167" fontId="0" fillId="0" borderId="0" xfId="0" applyNumberFormat="1" applyFill="1" applyBorder="1"/>
    <xf numFmtId="169" fontId="0" fillId="0" borderId="0" xfId="0" applyNumberFormat="1" applyFill="1" applyBorder="1"/>
    <xf numFmtId="0" fontId="35" fillId="0" borderId="0" xfId="0" applyFont="1" applyFill="1" applyBorder="1" applyAlignment="1">
      <alignment horizontal="right"/>
    </xf>
    <xf numFmtId="1" fontId="47" fillId="0" borderId="0" xfId="4" applyNumberFormat="1" applyFont="1" applyFill="1" applyBorder="1"/>
    <xf numFmtId="0" fontId="46" fillId="0" borderId="0" xfId="0" applyFont="1" applyFill="1" applyBorder="1" applyAlignment="1">
      <alignment vertical="center"/>
    </xf>
    <xf numFmtId="0" fontId="46" fillId="0" borderId="0" xfId="0" applyFont="1" applyFill="1" applyBorder="1" applyAlignment="1">
      <alignment horizontal="center" vertical="center"/>
    </xf>
    <xf numFmtId="1" fontId="39" fillId="0" borderId="0" xfId="4" applyNumberFormat="1" applyFont="1" applyFill="1" applyBorder="1"/>
    <xf numFmtId="0" fontId="35" fillId="0" borderId="0" xfId="0" applyFont="1" applyFill="1" applyBorder="1" applyAlignment="1"/>
    <xf numFmtId="173" fontId="36" fillId="0" borderId="0" xfId="0" applyNumberFormat="1" applyFont="1" applyFill="1" applyBorder="1" applyAlignment="1"/>
    <xf numFmtId="173" fontId="38" fillId="0" borderId="0" xfId="0" applyNumberFormat="1" applyFont="1" applyFill="1" applyBorder="1" applyAlignment="1"/>
    <xf numFmtId="173" fontId="39" fillId="0" borderId="0" xfId="0" applyNumberFormat="1" applyFont="1" applyFill="1" applyBorder="1" applyAlignment="1"/>
    <xf numFmtId="168" fontId="2" fillId="0" borderId="0" xfId="0" applyNumberFormat="1" applyFont="1" applyFill="1" applyBorder="1" applyAlignment="1">
      <alignment horizontal="right"/>
    </xf>
    <xf numFmtId="0" fontId="35" fillId="0" borderId="0" xfId="0" applyFont="1" applyFill="1" applyBorder="1" applyAlignment="1">
      <alignment vertical="center"/>
    </xf>
    <xf numFmtId="173" fontId="37" fillId="0" borderId="0" xfId="0" applyNumberFormat="1" applyFont="1" applyFill="1" applyBorder="1" applyAlignment="1"/>
    <xf numFmtId="168" fontId="3" fillId="0" borderId="0" xfId="0" applyNumberFormat="1" applyFont="1" applyFill="1" applyBorder="1" applyAlignment="1">
      <alignment horizontal="right"/>
    </xf>
    <xf numFmtId="171" fontId="37" fillId="0" borderId="0" xfId="0" applyNumberFormat="1" applyFont="1" applyFill="1" applyBorder="1"/>
    <xf numFmtId="171" fontId="0" fillId="0" borderId="0" xfId="0" quotePrefix="1" applyNumberFormat="1" applyFill="1" applyBorder="1" applyAlignment="1">
      <alignment horizontal="center"/>
    </xf>
    <xf numFmtId="0" fontId="41" fillId="0" borderId="0" xfId="0" applyFont="1" applyFill="1" applyBorder="1" applyAlignment="1">
      <alignment horizontal="right"/>
    </xf>
    <xf numFmtId="0" fontId="35" fillId="0" borderId="0" xfId="0" applyFont="1" applyFill="1" applyBorder="1" applyAlignment="1">
      <alignment horizontal="center"/>
    </xf>
    <xf numFmtId="0" fontId="7" fillId="10" borderId="15" xfId="0" applyFont="1" applyFill="1" applyBorder="1" applyAlignment="1">
      <alignment vertical="center"/>
    </xf>
    <xf numFmtId="0" fontId="7" fillId="10" borderId="3" xfId="0" applyFont="1" applyFill="1" applyBorder="1" applyAlignment="1">
      <alignment vertical="center"/>
    </xf>
    <xf numFmtId="0" fontId="7" fillId="10" borderId="16" xfId="0" applyFont="1" applyFill="1" applyBorder="1" applyAlignment="1">
      <alignment vertical="center"/>
    </xf>
    <xf numFmtId="0" fontId="7" fillId="0" borderId="0" xfId="0" applyFont="1" applyFill="1" applyBorder="1" applyAlignment="1">
      <alignment vertical="center"/>
    </xf>
    <xf numFmtId="0" fontId="0" fillId="0" borderId="3" xfId="0" applyBorder="1" applyAlignment="1"/>
    <xf numFmtId="0" fontId="0" fillId="0" borderId="0" xfId="0" applyBorder="1" applyAlignment="1"/>
    <xf numFmtId="0" fontId="33" fillId="0" borderId="0" xfId="0" applyFont="1" applyBorder="1"/>
    <xf numFmtId="168" fontId="4" fillId="2" borderId="3" xfId="0" applyNumberFormat="1" applyFont="1" applyFill="1" applyBorder="1" applyAlignment="1" applyProtection="1">
      <alignment wrapText="1"/>
    </xf>
    <xf numFmtId="168" fontId="2" fillId="0" borderId="2" xfId="0" applyNumberFormat="1" applyFont="1" applyFill="1" applyBorder="1" applyAlignment="1">
      <alignment wrapText="1"/>
    </xf>
    <xf numFmtId="171" fontId="13" fillId="0" borderId="0" xfId="0" applyNumberFormat="1" applyFont="1" applyFill="1" applyAlignment="1">
      <alignment wrapText="1"/>
    </xf>
    <xf numFmtId="171" fontId="0" fillId="0" borderId="0" xfId="0" applyNumberFormat="1" applyFill="1" applyAlignment="1">
      <alignment wrapText="1"/>
    </xf>
    <xf numFmtId="171" fontId="13" fillId="0" borderId="22" xfId="0" applyNumberFormat="1" applyFont="1" applyFill="1" applyBorder="1" applyAlignment="1">
      <alignment wrapText="1"/>
    </xf>
    <xf numFmtId="171" fontId="4" fillId="0" borderId="2" xfId="0" applyNumberFormat="1" applyFont="1" applyFill="1" applyBorder="1" applyAlignment="1">
      <alignment wrapText="1"/>
    </xf>
    <xf numFmtId="168" fontId="4" fillId="0" borderId="2" xfId="0" applyNumberFormat="1" applyFont="1" applyFill="1" applyBorder="1" applyAlignment="1">
      <alignment wrapText="1"/>
    </xf>
    <xf numFmtId="0" fontId="0" fillId="0" borderId="0" xfId="0" applyFill="1" applyBorder="1" applyAlignment="1"/>
    <xf numFmtId="0" fontId="0" fillId="0" borderId="3" xfId="0" applyBorder="1"/>
    <xf numFmtId="168" fontId="0" fillId="0" borderId="3" xfId="0" applyNumberFormat="1" applyBorder="1"/>
    <xf numFmtId="0" fontId="0" fillId="0" borderId="0" xfId="0" applyFill="1" applyBorder="1" applyAlignment="1">
      <alignment vertical="center" wrapText="1"/>
    </xf>
    <xf numFmtId="168" fontId="2" fillId="0" borderId="0" xfId="0" applyNumberFormat="1" applyFont="1" applyFill="1" applyBorder="1" applyAlignment="1">
      <alignment wrapText="1"/>
    </xf>
    <xf numFmtId="3" fontId="0" fillId="0" borderId="0" xfId="0" applyNumberFormat="1" applyFont="1" applyFill="1" applyBorder="1" applyAlignment="1">
      <alignment wrapText="1"/>
    </xf>
    <xf numFmtId="0" fontId="0" fillId="0" borderId="0" xfId="0" applyProtection="1"/>
    <xf numFmtId="168" fontId="0" fillId="0" borderId="0" xfId="0" applyNumberFormat="1" applyProtection="1"/>
    <xf numFmtId="168" fontId="2" fillId="15" borderId="23" xfId="0" applyNumberFormat="1" applyFont="1" applyFill="1" applyBorder="1" applyAlignment="1">
      <alignment wrapText="1"/>
    </xf>
    <xf numFmtId="168" fontId="2" fillId="2" borderId="3" xfId="0" applyNumberFormat="1" applyFont="1" applyFill="1" applyBorder="1" applyAlignment="1" applyProtection="1">
      <alignment wrapText="1"/>
    </xf>
    <xf numFmtId="168" fontId="2" fillId="2" borderId="16" xfId="0" applyNumberFormat="1" applyFont="1" applyFill="1" applyBorder="1" applyAlignment="1" applyProtection="1">
      <alignment wrapText="1"/>
    </xf>
    <xf numFmtId="0" fontId="2" fillId="2" borderId="15" xfId="0" applyFont="1" applyFill="1" applyBorder="1" applyAlignment="1" applyProtection="1">
      <alignment wrapText="1"/>
    </xf>
    <xf numFmtId="0" fontId="50" fillId="0" borderId="0" xfId="0" applyFont="1" applyFill="1" applyBorder="1" applyAlignment="1" applyProtection="1"/>
    <xf numFmtId="0" fontId="7" fillId="14" borderId="15" xfId="0" applyFont="1" applyFill="1" applyBorder="1" applyAlignment="1">
      <alignment vertical="center" wrapText="1"/>
    </xf>
    <xf numFmtId="0" fontId="7" fillId="14" borderId="3" xfId="0" applyFont="1" applyFill="1" applyBorder="1" applyAlignment="1">
      <alignment vertical="center" wrapText="1"/>
    </xf>
    <xf numFmtId="0" fontId="7" fillId="14" borderId="16" xfId="0" applyFont="1" applyFill="1" applyBorder="1" applyAlignment="1">
      <alignment vertical="center" wrapText="1"/>
    </xf>
    <xf numFmtId="0" fontId="7" fillId="6" borderId="15" xfId="0" applyFont="1" applyFill="1" applyBorder="1" applyAlignment="1">
      <alignment vertical="center" wrapText="1"/>
    </xf>
    <xf numFmtId="0" fontId="7" fillId="6" borderId="3" xfId="0" applyFont="1" applyFill="1" applyBorder="1" applyAlignment="1">
      <alignment vertical="center" wrapText="1"/>
    </xf>
    <xf numFmtId="0" fontId="7" fillId="6" borderId="16" xfId="0" applyFont="1" applyFill="1" applyBorder="1" applyAlignment="1">
      <alignment vertical="center" wrapText="1"/>
    </xf>
    <xf numFmtId="0" fontId="7" fillId="10" borderId="15" xfId="0" applyFont="1" applyFill="1" applyBorder="1" applyAlignment="1">
      <alignment vertical="center" wrapText="1"/>
    </xf>
    <xf numFmtId="0" fontId="7" fillId="10" borderId="3" xfId="0" applyFont="1" applyFill="1" applyBorder="1" applyAlignment="1">
      <alignment vertical="center" wrapText="1"/>
    </xf>
    <xf numFmtId="0" fontId="7" fillId="10" borderId="16" xfId="0" applyFont="1" applyFill="1" applyBorder="1" applyAlignment="1">
      <alignment vertical="center" wrapText="1"/>
    </xf>
    <xf numFmtId="0" fontId="7" fillId="0" borderId="0" xfId="0" applyFont="1" applyFill="1" applyBorder="1" applyAlignment="1">
      <alignment vertical="center" wrapText="1"/>
    </xf>
    <xf numFmtId="0" fontId="13" fillId="3" borderId="15" xfId="0" applyFont="1" applyFill="1" applyBorder="1" applyAlignment="1" applyProtection="1">
      <protection locked="0"/>
    </xf>
    <xf numFmtId="0" fontId="13" fillId="3" borderId="3" xfId="0" applyFont="1" applyFill="1" applyBorder="1" applyAlignment="1" applyProtection="1">
      <protection locked="0"/>
    </xf>
    <xf numFmtId="1" fontId="0" fillId="3" borderId="3" xfId="0" applyNumberFormat="1" applyFill="1" applyBorder="1" applyProtection="1">
      <protection locked="0"/>
    </xf>
    <xf numFmtId="172" fontId="0" fillId="3" borderId="3" xfId="0" applyNumberFormat="1" applyFont="1" applyFill="1" applyBorder="1" applyAlignment="1" applyProtection="1">
      <alignment wrapText="1"/>
      <protection locked="0"/>
    </xf>
    <xf numFmtId="0" fontId="0" fillId="3" borderId="3" xfId="0" applyFill="1" applyBorder="1" applyProtection="1">
      <protection locked="0"/>
    </xf>
    <xf numFmtId="0" fontId="0" fillId="3" borderId="16" xfId="0" applyFill="1" applyBorder="1" applyProtection="1">
      <protection locked="0"/>
    </xf>
    <xf numFmtId="0" fontId="46" fillId="0" borderId="0" xfId="0" applyFont="1" applyFill="1" applyBorder="1" applyAlignment="1">
      <alignment horizontal="center" vertical="center"/>
    </xf>
    <xf numFmtId="0" fontId="0" fillId="12" borderId="4"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18" fillId="12" borderId="4" xfId="0" applyFont="1" applyFill="1" applyBorder="1" applyAlignment="1">
      <alignment horizontal="center" vertical="center"/>
    </xf>
    <xf numFmtId="0" fontId="18" fillId="12" borderId="0" xfId="0" applyFont="1" applyFill="1" applyBorder="1" applyAlignment="1">
      <alignment horizontal="center" vertical="center"/>
    </xf>
    <xf numFmtId="0" fontId="2" fillId="3"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2" fillId="21" borderId="15" xfId="0" applyFont="1" applyFill="1" applyBorder="1" applyAlignment="1" applyProtection="1">
      <alignment horizontal="center" wrapText="1"/>
    </xf>
    <xf numFmtId="0" fontId="12" fillId="21" borderId="3" xfId="0" applyFont="1" applyFill="1" applyBorder="1" applyAlignment="1" applyProtection="1">
      <alignment horizontal="center" wrapText="1"/>
    </xf>
    <xf numFmtId="0" fontId="12" fillId="21" borderId="16" xfId="0" applyFont="1" applyFill="1" applyBorder="1" applyAlignment="1" applyProtection="1">
      <alignment horizontal="center" wrapText="1"/>
    </xf>
    <xf numFmtId="0" fontId="22" fillId="0" borderId="0" xfId="0" applyFont="1" applyAlignment="1">
      <alignment horizontal="center" vertical="center" wrapText="1"/>
    </xf>
    <xf numFmtId="0" fontId="19" fillId="12" borderId="18" xfId="0" applyFont="1" applyFill="1" applyBorder="1" applyAlignment="1">
      <alignment horizontal="center" vertical="center" wrapText="1"/>
    </xf>
    <xf numFmtId="0" fontId="19" fillId="12" borderId="17" xfId="0" applyFont="1" applyFill="1" applyBorder="1" applyAlignment="1">
      <alignment horizontal="center" vertical="center" wrapText="1"/>
    </xf>
    <xf numFmtId="0" fontId="0" fillId="12" borderId="4" xfId="0" applyFont="1" applyFill="1" applyBorder="1" applyAlignment="1">
      <alignment horizontal="center" vertical="center" wrapText="1"/>
    </xf>
    <xf numFmtId="0" fontId="0" fillId="12" borderId="0" xfId="0" applyFont="1" applyFill="1" applyBorder="1" applyAlignment="1">
      <alignment horizontal="center" vertical="center" wrapText="1"/>
    </xf>
    <xf numFmtId="168" fontId="18" fillId="12" borderId="4" xfId="0" applyNumberFormat="1" applyFont="1" applyFill="1" applyBorder="1" applyAlignment="1">
      <alignment horizontal="center" vertical="center"/>
    </xf>
    <xf numFmtId="168" fontId="18" fillId="12" borderId="0" xfId="0" applyNumberFormat="1" applyFont="1" applyFill="1" applyBorder="1" applyAlignment="1">
      <alignment horizontal="center" vertical="center"/>
    </xf>
    <xf numFmtId="0" fontId="2" fillId="20" borderId="17" xfId="0" applyFont="1" applyFill="1" applyBorder="1" applyAlignment="1">
      <alignment horizontal="center" vertical="center" wrapText="1"/>
    </xf>
    <xf numFmtId="0" fontId="2" fillId="20" borderId="0" xfId="0" applyFont="1" applyFill="1" applyBorder="1" applyAlignment="1">
      <alignment horizontal="center" vertical="center" wrapText="1"/>
    </xf>
    <xf numFmtId="0" fontId="2" fillId="20" borderId="1" xfId="0" applyFont="1" applyFill="1" applyBorder="1" applyAlignment="1">
      <alignment horizontal="center" vertical="center" wrapText="1"/>
    </xf>
    <xf numFmtId="0" fontId="0" fillId="12" borderId="4" xfId="0" applyFont="1" applyFill="1" applyBorder="1" applyAlignment="1">
      <alignment horizontal="center" vertical="center"/>
    </xf>
    <xf numFmtId="0" fontId="0" fillId="12" borderId="0" xfId="0" applyFont="1" applyFill="1" applyBorder="1" applyAlignment="1">
      <alignment horizontal="center" vertical="center"/>
    </xf>
    <xf numFmtId="0" fontId="4" fillId="11" borderId="17" xfId="0" applyFont="1" applyFill="1" applyBorder="1" applyAlignment="1">
      <alignment horizontal="center" vertical="center" wrapText="1"/>
    </xf>
    <xf numFmtId="0" fontId="4" fillId="11" borderId="0" xfId="0" applyFont="1" applyFill="1" applyBorder="1" applyAlignment="1">
      <alignment horizontal="center" vertical="center" wrapText="1"/>
    </xf>
    <xf numFmtId="0" fontId="4" fillId="11" borderId="1" xfId="0" applyFont="1" applyFill="1" applyBorder="1" applyAlignment="1">
      <alignment horizontal="center" vertical="center" wrapText="1"/>
    </xf>
    <xf numFmtId="0" fontId="2" fillId="17" borderId="17" xfId="0" applyFont="1" applyFill="1" applyBorder="1" applyAlignment="1">
      <alignment horizontal="center" vertical="center" wrapText="1"/>
    </xf>
    <xf numFmtId="0" fontId="2" fillId="17" borderId="0" xfId="0" applyFont="1" applyFill="1" applyBorder="1" applyAlignment="1">
      <alignment horizontal="center" vertical="center" wrapText="1"/>
    </xf>
    <xf numFmtId="0" fontId="2" fillId="17" borderId="1"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2" fillId="7" borderId="0"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4" fillId="19" borderId="17" xfId="0" applyFont="1" applyFill="1" applyBorder="1" applyAlignment="1">
      <alignment horizontal="center" vertical="center" wrapText="1"/>
    </xf>
    <xf numFmtId="0" fontId="4" fillId="19" borderId="0" xfId="0" applyFont="1" applyFill="1" applyBorder="1" applyAlignment="1">
      <alignment horizontal="center" vertical="center" wrapText="1"/>
    </xf>
    <xf numFmtId="0" fontId="4" fillId="19" borderId="1"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2" fillId="6" borderId="0"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15" borderId="17" xfId="0" applyFont="1" applyFill="1" applyBorder="1" applyAlignment="1">
      <alignment horizontal="center" vertical="center" wrapText="1"/>
    </xf>
    <xf numFmtId="0" fontId="2" fillId="15" borderId="0" xfId="0" applyFont="1" applyFill="1" applyBorder="1" applyAlignment="1">
      <alignment horizontal="center" vertical="center" wrapText="1"/>
    </xf>
    <xf numFmtId="0" fontId="2" fillId="15" borderId="1" xfId="0" applyFont="1" applyFill="1" applyBorder="1" applyAlignment="1">
      <alignment horizontal="center" vertical="center" wrapText="1"/>
    </xf>
    <xf numFmtId="0" fontId="2" fillId="14" borderId="17" xfId="0" applyFont="1" applyFill="1" applyBorder="1" applyAlignment="1">
      <alignment horizontal="center" vertical="center" wrapText="1"/>
    </xf>
    <xf numFmtId="0" fontId="2" fillId="14" borderId="0" xfId="0" applyFont="1" applyFill="1" applyBorder="1" applyAlignment="1">
      <alignment horizontal="center" vertical="center" wrapText="1"/>
    </xf>
    <xf numFmtId="0" fontId="2" fillId="14" borderId="1" xfId="0" applyFont="1" applyFill="1" applyBorder="1" applyAlignment="1">
      <alignment horizontal="center" vertical="center" wrapText="1"/>
    </xf>
    <xf numFmtId="0" fontId="18" fillId="12" borderId="5" xfId="0" applyFont="1" applyFill="1" applyBorder="1" applyAlignment="1">
      <alignment horizontal="center" vertical="center"/>
    </xf>
    <xf numFmtId="0" fontId="18" fillId="12" borderId="1" xfId="0" applyFont="1" applyFill="1" applyBorder="1" applyAlignment="1">
      <alignment horizontal="center" vertical="center"/>
    </xf>
    <xf numFmtId="0" fontId="2" fillId="10" borderId="15" xfId="0" applyFont="1" applyFill="1" applyBorder="1" applyAlignment="1" applyProtection="1">
      <alignment horizontal="center" wrapText="1"/>
    </xf>
    <xf numFmtId="0" fontId="2" fillId="10" borderId="3" xfId="0" applyFont="1" applyFill="1" applyBorder="1" applyAlignment="1" applyProtection="1">
      <alignment horizontal="center" wrapText="1"/>
    </xf>
    <xf numFmtId="0" fontId="2" fillId="10" borderId="16" xfId="0" applyFont="1" applyFill="1" applyBorder="1" applyAlignment="1" applyProtection="1">
      <alignment horizontal="center" wrapText="1"/>
    </xf>
    <xf numFmtId="0" fontId="24" fillId="13" borderId="18" xfId="0" applyFont="1" applyFill="1" applyBorder="1" applyAlignment="1" applyProtection="1">
      <alignment horizontal="center"/>
    </xf>
    <xf numFmtId="0" fontId="24" fillId="13" borderId="17" xfId="0" applyFont="1" applyFill="1" applyBorder="1" applyAlignment="1" applyProtection="1">
      <alignment horizontal="center"/>
    </xf>
    <xf numFmtId="0" fontId="7" fillId="5" borderId="18" xfId="0" applyFont="1" applyFill="1" applyBorder="1" applyAlignment="1" applyProtection="1">
      <alignment horizontal="center" vertical="center" wrapText="1"/>
    </xf>
    <xf numFmtId="0" fontId="7" fillId="5" borderId="17" xfId="0" applyFont="1" applyFill="1" applyBorder="1" applyAlignment="1" applyProtection="1">
      <alignment horizontal="center" vertical="center" wrapText="1"/>
    </xf>
    <xf numFmtId="0" fontId="7" fillId="5" borderId="19" xfId="0" applyFont="1" applyFill="1" applyBorder="1" applyAlignment="1" applyProtection="1">
      <alignment horizontal="center" vertical="center" wrapText="1"/>
    </xf>
    <xf numFmtId="0" fontId="7" fillId="5" borderId="4" xfId="0" applyFont="1" applyFill="1" applyBorder="1" applyAlignment="1" applyProtection="1">
      <alignment horizontal="center" vertical="center" wrapText="1"/>
    </xf>
    <xf numFmtId="0" fontId="7" fillId="5" borderId="0" xfId="0" applyFont="1" applyFill="1" applyBorder="1" applyAlignment="1" applyProtection="1">
      <alignment horizontal="center" vertical="center" wrapText="1"/>
    </xf>
    <xf numFmtId="0" fontId="7" fillId="5" borderId="14" xfId="0" applyFont="1" applyFill="1" applyBorder="1" applyAlignment="1" applyProtection="1">
      <alignment horizontal="center" vertical="center" wrapText="1"/>
    </xf>
    <xf numFmtId="0" fontId="7" fillId="5" borderId="5" xfId="0" applyFont="1" applyFill="1" applyBorder="1" applyAlignment="1" applyProtection="1">
      <alignment horizontal="center" vertical="center" wrapText="1"/>
    </xf>
    <xf numFmtId="0" fontId="7" fillId="5" borderId="1" xfId="0" applyFont="1" applyFill="1" applyBorder="1" applyAlignment="1" applyProtection="1">
      <alignment horizontal="center" vertical="center" wrapText="1"/>
    </xf>
    <xf numFmtId="0" fontId="7" fillId="5" borderId="6" xfId="0" applyFont="1" applyFill="1" applyBorder="1" applyAlignment="1" applyProtection="1">
      <alignment horizontal="center" vertical="center" wrapText="1"/>
    </xf>
    <xf numFmtId="0" fontId="4" fillId="5" borderId="17"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16" borderId="17" xfId="0" applyFont="1" applyFill="1" applyBorder="1" applyAlignment="1">
      <alignment horizontal="center" vertical="center" wrapText="1"/>
    </xf>
    <xf numFmtId="0" fontId="2" fillId="16" borderId="0" xfId="0" applyFont="1" applyFill="1" applyBorder="1" applyAlignment="1">
      <alignment horizontal="center" vertical="center" wrapText="1"/>
    </xf>
    <xf numFmtId="0" fontId="2" fillId="16" borderId="1" xfId="0" applyFont="1" applyFill="1" applyBorder="1" applyAlignment="1">
      <alignment horizontal="center" vertical="center" wrapText="1"/>
    </xf>
    <xf numFmtId="0" fontId="7" fillId="3" borderId="15" xfId="0" applyFont="1" applyFill="1" applyBorder="1" applyAlignment="1" applyProtection="1">
      <alignment horizontal="center"/>
    </xf>
    <xf numFmtId="0" fontId="7" fillId="3" borderId="3" xfId="0" applyFont="1" applyFill="1" applyBorder="1" applyAlignment="1" applyProtection="1">
      <alignment horizontal="center"/>
    </xf>
    <xf numFmtId="0" fontId="7" fillId="3" borderId="16" xfId="0" applyFont="1" applyFill="1" applyBorder="1" applyAlignment="1" applyProtection="1">
      <alignment horizontal="center"/>
    </xf>
    <xf numFmtId="0" fontId="7" fillId="14" borderId="15" xfId="0" applyFont="1" applyFill="1" applyBorder="1" applyAlignment="1">
      <alignment horizontal="center" vertical="center" wrapText="1"/>
    </xf>
    <xf numFmtId="0" fontId="7" fillId="14" borderId="3" xfId="0" applyFont="1" applyFill="1" applyBorder="1" applyAlignment="1">
      <alignment horizontal="center" vertical="center" wrapText="1"/>
    </xf>
    <xf numFmtId="0" fontId="7" fillId="14" borderId="16" xfId="0" applyFont="1" applyFill="1" applyBorder="1" applyAlignment="1">
      <alignment horizontal="center" vertical="center" wrapText="1"/>
    </xf>
    <xf numFmtId="0" fontId="40" fillId="0" borderId="7" xfId="0" applyFont="1" applyBorder="1" applyAlignment="1" applyProtection="1">
      <alignment horizontal="center"/>
    </xf>
    <xf numFmtId="0" fontId="40" fillId="0" borderId="27" xfId="0" applyFont="1" applyBorder="1" applyAlignment="1" applyProtection="1">
      <alignment horizontal="center"/>
    </xf>
    <xf numFmtId="0" fontId="40" fillId="0" borderId="8" xfId="0" applyFont="1" applyBorder="1" applyAlignment="1" applyProtection="1">
      <alignment horizontal="center"/>
    </xf>
    <xf numFmtId="0" fontId="13" fillId="0" borderId="1" xfId="0" applyFont="1" applyFill="1" applyBorder="1" applyAlignment="1" applyProtection="1">
      <alignment horizontal="left"/>
    </xf>
    <xf numFmtId="0" fontId="13" fillId="0" borderId="6" xfId="0" applyFont="1" applyFill="1" applyBorder="1" applyAlignment="1" applyProtection="1">
      <alignment horizontal="left"/>
    </xf>
    <xf numFmtId="0" fontId="13" fillId="0" borderId="0" xfId="0" applyFont="1" applyFill="1" applyBorder="1" applyAlignment="1" applyProtection="1">
      <alignment horizontal="left"/>
    </xf>
    <xf numFmtId="0" fontId="13" fillId="0" borderId="14" xfId="0" applyFont="1" applyFill="1" applyBorder="1" applyAlignment="1" applyProtection="1">
      <alignment horizontal="left"/>
    </xf>
    <xf numFmtId="0" fontId="2" fillId="0" borderId="28" xfId="0" applyNumberFormat="1" applyFont="1" applyBorder="1" applyAlignment="1">
      <alignment horizontal="left"/>
    </xf>
    <xf numFmtId="0" fontId="2" fillId="0" borderId="10" xfId="0" applyNumberFormat="1" applyFont="1" applyBorder="1" applyAlignment="1">
      <alignment horizontal="left"/>
    </xf>
    <xf numFmtId="168" fontId="0" fillId="11" borderId="2" xfId="0" applyNumberFormat="1" applyFill="1" applyBorder="1" applyAlignment="1">
      <alignment horizontal="center" wrapText="1"/>
    </xf>
    <xf numFmtId="0" fontId="12" fillId="8" borderId="13" xfId="0" applyFont="1" applyFill="1" applyBorder="1" applyAlignment="1">
      <alignment horizontal="center" wrapText="1"/>
    </xf>
    <xf numFmtId="0" fontId="11" fillId="0" borderId="0" xfId="0" applyFont="1" applyAlignment="1">
      <alignment horizontal="left" wrapText="1"/>
    </xf>
    <xf numFmtId="0" fontId="11" fillId="0" borderId="0" xfId="0" applyFont="1" applyAlignment="1">
      <alignment horizontal="center" wrapText="1"/>
    </xf>
    <xf numFmtId="0" fontId="0" fillId="0" borderId="0" xfId="0" applyAlignment="1">
      <alignment horizontal="left" wrapText="1"/>
    </xf>
    <xf numFmtId="0" fontId="12" fillId="8" borderId="20" xfId="0" applyFont="1" applyFill="1" applyBorder="1" applyAlignment="1">
      <alignment horizontal="center" wrapText="1"/>
    </xf>
    <xf numFmtId="0" fontId="12" fillId="8" borderId="21" xfId="0" applyFont="1" applyFill="1" applyBorder="1" applyAlignment="1">
      <alignment horizontal="center" wrapText="1"/>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2" defaultPivotStyle="PivotStyleLight16"/>
  <colors>
    <mruColors>
      <color rgb="FFFFBA9B"/>
      <color rgb="FFDCCBFF"/>
      <color rgb="FFFFCC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jcampbell" id="{8D9B128E-A47F-4380-82D6-3D904956DA7E}" userId="jcampbell"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27" dT="2020-04-16T20:28:34.11" personId="{8D9B128E-A47F-4380-82D6-3D904956DA7E}" id="{2165476C-8FD9-4494-B4EA-79B87931890B}">
    <text>label printer - can be updated with proposed schedule (e.g. aim to test X per day, so need X label printer)</text>
  </threadedComment>
</ThreadedComments>
</file>

<file path=xl/threadedComments/threadedComment2.xml><?xml version="1.0" encoding="utf-8"?>
<ThreadedComments xmlns="http://schemas.microsoft.com/office/spreadsheetml/2018/threadedcomments" xmlns:x="http://schemas.openxmlformats.org/spreadsheetml/2006/main">
  <threadedComment ref="J27" dT="2020-04-16T20:28:34.11" personId="{8D9B128E-A47F-4380-82D6-3D904956DA7E}" id="{2165476C-8FD9-4493-B4EA-79B87931890B}">
    <text>label printer - can be updated with proposed schedule (e.g. aim to test X per day, so need X label printer)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https://www.homedepot.com/p/3M-Clear-Professional-Face-Shield-90028-80025/202195394" TargetMode="External"/><Relationship Id="rId21" Type="http://schemas.openxmlformats.org/officeDocument/2006/relationships/hyperlink" Target="https://www.canadiansafetysupplies.com/N95-Particulate-Respirator-3M-p/8511.htm" TargetMode="External"/><Relationship Id="rId42" Type="http://schemas.openxmlformats.org/officeDocument/2006/relationships/hyperlink" Target="https://www.fishersci.ca/shop/products/therapak-corporation-coleman-excursion-handle-coolers-4/22131508" TargetMode="External"/><Relationship Id="rId63" Type="http://schemas.openxmlformats.org/officeDocument/2006/relationships/hyperlink" Target="https://www.stat.gouv.qc.ca/statistiques/travail-remuneration/remuneration-globale/globale-salaires/emplois-reperes/305empl_an.htm" TargetMode="External"/><Relationship Id="rId84" Type="http://schemas.openxmlformats.org/officeDocument/2006/relationships/hyperlink" Target="https://www.grainger.ca/en/product/EAR-LOOP-MASK-BLUE%2CPK-50/p/WWG9E274" TargetMode="External"/><Relationship Id="rId138" Type="http://schemas.openxmlformats.org/officeDocument/2006/relationships/hyperlink" Target="https://www.stat.gouv.qc.ca/statistiques/travail-remuneration/remuneration-globale/globale-salaires/emplois-reperes/305empl_an.htm" TargetMode="External"/><Relationship Id="rId159" Type="http://schemas.openxmlformats.org/officeDocument/2006/relationships/hyperlink" Target="https://neuvoo.ca/salary/?job=Laboratory%20Coordinator" TargetMode="External"/><Relationship Id="rId107"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1" Type="http://schemas.openxmlformats.org/officeDocument/2006/relationships/hyperlink" Target="http://www.fiqsante.qc.ca/wp-content/uploads/2016/10/Echelles_salariales_Web_2016-2020_FR.pdf?download=1" TargetMode="External"/><Relationship Id="rId32" Type="http://schemas.openxmlformats.org/officeDocument/2006/relationships/hyperlink" Target="https://www.homedepot.com/p/3M-Clear-Professional-Face-Shield-90028-80025/202195394" TargetMode="External"/><Relationship Id="rId53" Type="http://schemas.openxmlformats.org/officeDocument/2006/relationships/hyperlink" Target="https://www.canadiantire.ca/en/pdp/frank-disposable-vinyl-nitrile-gloves-50-pk-0428456p.html" TargetMode="External"/><Relationship Id="rId74" Type="http://schemas.openxmlformats.org/officeDocument/2006/relationships/hyperlink" Target="http://www.fiqsante.qc.ca/wp-content/uploads/2016/10/Echelles_salariales_Web_2016-2020_FR.pdf?download=1" TargetMode="External"/><Relationship Id="rId128"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49" Type="http://schemas.openxmlformats.org/officeDocument/2006/relationships/hyperlink" Target="https://www.fishersci.ca/shop/products/therapak-corporation-coleman-excursion-handle-coolers-4/22131508" TargetMode="External"/><Relationship Id="rId5"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95" Type="http://schemas.openxmlformats.org/officeDocument/2006/relationships/hyperlink" Target="https://www.stat.gouv.qc.ca/statistiques/travail-remuneration/remuneration-globale/globale-salaires/emplois-reperes/305empl_an.htm" TargetMode="External"/><Relationship Id="rId160"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22" Type="http://schemas.openxmlformats.org/officeDocument/2006/relationships/hyperlink" Target="https://www.grainger.ca/en/product/EAR-LOOP-MASK-BLUE%2CPK-50/p/WWG9E274" TargetMode="External"/><Relationship Id="rId43" Type="http://schemas.openxmlformats.org/officeDocument/2006/relationships/hyperlink" Target="https://www.fishersci.ca/shop/products/fisherbrand-biohazard-specimen-transport-bags-10/0180004" TargetMode="External"/><Relationship Id="rId64" Type="http://schemas.openxmlformats.org/officeDocument/2006/relationships/hyperlink" Target="https://neuvoo.ca/salary/?job=Laboratory%20Coordinator" TargetMode="External"/><Relationship Id="rId118" Type="http://schemas.openxmlformats.org/officeDocument/2006/relationships/hyperlink" Target="https://www.canadiansafetysupplies.com/N95-Particulate-Respirator-3M-p/8511.htm" TargetMode="External"/><Relationship Id="rId139" Type="http://schemas.openxmlformats.org/officeDocument/2006/relationships/hyperlink" Target="https://www.stat.gouv.qc.ca/statistiques/travail-remuneration/remuneration-globale/globale-salaires/emplois-reperes/305empl_an.htm" TargetMode="External"/><Relationship Id="rId8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50" Type="http://schemas.openxmlformats.org/officeDocument/2006/relationships/hyperlink" Target="https://www.fishersci.ca/shop/products/fisherbrand-biohazard-specimen-transport-bags-10/0180004" TargetMode="External"/><Relationship Id="rId12" Type="http://schemas.openxmlformats.org/officeDocument/2006/relationships/hyperlink" Target="http://www.fiqsante.qc.ca/wp-content/uploads/2016/10/Echelles_salariales_Web_2016-2020_FR.pdf?download=1" TargetMode="External"/><Relationship Id="rId17" Type="http://schemas.openxmlformats.org/officeDocument/2006/relationships/hyperlink" Target="https://www.grainger.ca/en/product/EAR-LOOP-MASK-BLUE%2CPK-50/p/WWG9E274" TargetMode="External"/><Relationship Id="rId33" Type="http://schemas.openxmlformats.org/officeDocument/2006/relationships/hyperlink" Target="https://www.canadiansafetysupplies.com/N95-Particulate-Respirator-3M-p/8511.htm" TargetMode="External"/><Relationship Id="rId38" Type="http://schemas.openxmlformats.org/officeDocument/2006/relationships/hyperlink" Target="https://www.fishersci.ca/shop/products/therapak-corporation-coleman-excursion-handle-coolers-4/22131508" TargetMode="External"/><Relationship Id="rId59" Type="http://schemas.openxmlformats.org/officeDocument/2006/relationships/hyperlink" Target="https://www.stat.gouv.qc.ca/statistiques/travail-remuneration/remuneration-globale/globale-salaires/emplois-reperes/305empl_an.htm" TargetMode="External"/><Relationship Id="rId103" Type="http://schemas.openxmlformats.org/officeDocument/2006/relationships/hyperlink" Target="https://www.homedepot.com/p/3M-Clear-Professional-Face-Shield-90028-80025/202195394" TargetMode="External"/><Relationship Id="rId108" Type="http://schemas.openxmlformats.org/officeDocument/2006/relationships/hyperlink" Target="https://www.stat.gouv.qc.ca/statistiques/travail-remuneration/remuneration-globale/globale-salaires/emplois-reperes/305empl_an.htm" TargetMode="External"/><Relationship Id="rId124" Type="http://schemas.openxmlformats.org/officeDocument/2006/relationships/hyperlink" Target="https://www.stat.gouv.qc.ca/statistiques/travail-remuneration/remuneration-globale/globale-salaires/emplois-reperes/305empl_an.htm" TargetMode="External"/><Relationship Id="rId129" Type="http://schemas.openxmlformats.org/officeDocument/2006/relationships/hyperlink" Target="https://www.canadiantire.ca/en/pdp/frank-disposable-vinyl-nitrile-gloves-50-pk-0428456p.html" TargetMode="External"/><Relationship Id="rId54" Type="http://schemas.openxmlformats.org/officeDocument/2006/relationships/hyperlink" Target="https://www.homedepot.com/p/3M-Clear-Professional-Face-Shield-90028-80025/202195394" TargetMode="External"/><Relationship Id="rId70" Type="http://schemas.openxmlformats.org/officeDocument/2006/relationships/hyperlink" Target="https://www.biobasic.com/96-well-plate-viral-dna-miniprep-kit/" TargetMode="External"/><Relationship Id="rId75" Type="http://schemas.openxmlformats.org/officeDocument/2006/relationships/hyperlink" Target="http://www.fiqsante.qc.ca/wp-content/uploads/2016/10/Echelles_salariales_Web_2016-2020_FR.pdf?download=1" TargetMode="External"/><Relationship Id="rId91" Type="http://schemas.openxmlformats.org/officeDocument/2006/relationships/hyperlink" Target="https://www.canadiansafetysupplies.com/N95-Particulate-Respirator-3M-p/8511.htm" TargetMode="External"/><Relationship Id="rId96" Type="http://schemas.openxmlformats.org/officeDocument/2006/relationships/hyperlink" Target="https://www.stat.gouv.qc.ca/statistiques/travail-remuneration/remuneration-globale/globale-salaires/emplois-reperes/305empl_an.htm" TargetMode="External"/><Relationship Id="rId140" Type="http://schemas.openxmlformats.org/officeDocument/2006/relationships/hyperlink" Target="https://www.stat.gouv.qc.ca/statistiques/travail-remuneration/remuneration-globale/globale-salaires/emplois-reperes/305empl_an.htm" TargetMode="External"/><Relationship Id="rId145" Type="http://schemas.openxmlformats.org/officeDocument/2006/relationships/hyperlink" Target="https://www.homedepot.com/p/3M-Clear-Professional-Face-Shield-90028-80025/202195394" TargetMode="External"/><Relationship Id="rId161" Type="http://schemas.openxmlformats.org/officeDocument/2006/relationships/hyperlink" Target="https://www.canadiantire.ca/en/pdp/frank-disposable-vinyl-nitrile-gloves-50-pk-0428456p.html" TargetMode="External"/><Relationship Id="rId166" Type="http://schemas.openxmlformats.org/officeDocument/2006/relationships/hyperlink" Target="https://www.stat.gouv.qc.ca/statistiques/travail-remuneration/remuneration-globale/globale-salaires/emplois-reperes/305empl_an.htm" TargetMode="External"/><Relationship Id="rId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6"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23" Type="http://schemas.openxmlformats.org/officeDocument/2006/relationships/hyperlink" Target="https://ciusss-centresudmtl.gouv.qc.ca/actualite/covid-19-ouverture-dune-clinique-de-depistage-sans-rendez-vous-pour-augmenter-le-nombre-de-depistages" TargetMode="External"/><Relationship Id="rId28" Type="http://schemas.openxmlformats.org/officeDocument/2006/relationships/hyperlink" Target="http://www.fiqsante.qc.ca/wp-content/uploads/2016/10/Echelles_salariales_Web_2016-2020_FR.pdf?download=1" TargetMode="External"/><Relationship Id="rId49" Type="http://schemas.openxmlformats.org/officeDocument/2006/relationships/hyperlink" Target="https://www.stat.gouv.qc.ca/statistiques/travail-remuneration/remuneration-globale/globale-salaires/emplois-reperes/305empl_an.htm" TargetMode="External"/><Relationship Id="rId114"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19" Type="http://schemas.openxmlformats.org/officeDocument/2006/relationships/hyperlink" Target="https://www.biobasic.com/96-well-plate-viral-dna-miniprep-kit/" TargetMode="External"/><Relationship Id="rId44"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60" Type="http://schemas.openxmlformats.org/officeDocument/2006/relationships/hyperlink" Target="https://www.stat.gouv.qc.ca/statistiques/travail-remuneration/remuneration-globale/globale-salaires/emplois-reperes/305empl_an.htm" TargetMode="External"/><Relationship Id="rId65"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81" Type="http://schemas.openxmlformats.org/officeDocument/2006/relationships/hyperlink" Target="https://www.canadiantire.ca/en/pdp/frank-disposable-vinyl-nitrile-gloves-50-pk-0428456p.html" TargetMode="External"/><Relationship Id="rId86" Type="http://schemas.openxmlformats.org/officeDocument/2006/relationships/hyperlink" Target="http://www.fiqsante.qc.ca/wp-content/uploads/2016/10/Echelles_salariales_Web_2016-2020_FR.pdf?download=1" TargetMode="External"/><Relationship Id="rId130" Type="http://schemas.openxmlformats.org/officeDocument/2006/relationships/hyperlink" Target="https://www.canadiantire.ca/en/pdp/frank-disposable-vinyl-nitrile-gloves-50-pk-0428456p.html" TargetMode="External"/><Relationship Id="rId13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51" Type="http://schemas.openxmlformats.org/officeDocument/2006/relationships/hyperlink" Target="https://www.fishersci.ca/shop/products/therapak-corporation-coleman-excursion-handle-coolers-4/22131508" TargetMode="External"/><Relationship Id="rId156" Type="http://schemas.openxmlformats.org/officeDocument/2006/relationships/hyperlink" Target="https://www.thermofisher.com/us/en/home/references/protocols/cell-and-tissue-analysis/elisa-protocol/general-elisa-protocol.html" TargetMode="External"/><Relationship Id="rId13" Type="http://schemas.openxmlformats.org/officeDocument/2006/relationships/hyperlink" Target="https://www.canadiantire.ca/en/pdp/frank-disposable-vinyl-nitrile-gloves-50-pk-0428456p.html" TargetMode="External"/><Relationship Id="rId18" Type="http://schemas.openxmlformats.org/officeDocument/2006/relationships/hyperlink" Target="https://www.canadiantire.ca/en/pdp/frank-disposable-vinyl-nitrile-gloves-50-pk-0428456p.html" TargetMode="External"/><Relationship Id="rId39" Type="http://schemas.openxmlformats.org/officeDocument/2006/relationships/hyperlink" Target="https://www.fishersci.ca/shop/products/fisherbrand-biohazard-specimen-transport-bags-10/0180004" TargetMode="External"/><Relationship Id="rId109" Type="http://schemas.openxmlformats.org/officeDocument/2006/relationships/hyperlink" Target="https://www.stat.gouv.qc.ca/statistiques/travail-remuneration/remuneration-globale/globale-salaires/emplois-reperes/305empl_an.htm" TargetMode="External"/><Relationship Id="rId34" Type="http://schemas.openxmlformats.org/officeDocument/2006/relationships/hyperlink" Target="https://www.grainger.ca/en/product/EAR-LOOP-MASK-BLUE%2CPK-50/p/WWG9E274" TargetMode="External"/><Relationship Id="rId50" Type="http://schemas.openxmlformats.org/officeDocument/2006/relationships/hyperlink" Target="https://neuvoo.ca/salary/?job=Laboratory%20Coordinator" TargetMode="External"/><Relationship Id="rId55" Type="http://schemas.openxmlformats.org/officeDocument/2006/relationships/hyperlink" Target="https://www.canadiansafetysupplies.com/N95-Particulate-Respirator-3M-p/8511.htm" TargetMode="External"/><Relationship Id="rId76" Type="http://schemas.openxmlformats.org/officeDocument/2006/relationships/hyperlink" Target="http://www.fiqsante.qc.ca/wp-content/uploads/2016/10/Echelles_salariales_Web_2016-2020_FR.pdf?download=1" TargetMode="External"/><Relationship Id="rId97" Type="http://schemas.openxmlformats.org/officeDocument/2006/relationships/hyperlink" Target="https://www.stat.gouv.qc.ca/statistiques/travail-remuneration/remuneration-globale/globale-salaires/emplois-reperes/305empl_an.htm" TargetMode="External"/><Relationship Id="rId104" Type="http://schemas.openxmlformats.org/officeDocument/2006/relationships/hyperlink" Target="https://www.canadiansafetysupplies.com/N95-Particulate-Respirator-3M-p/8511.htm" TargetMode="External"/><Relationship Id="rId120" Type="http://schemas.openxmlformats.org/officeDocument/2006/relationships/hyperlink" Target="https://www.biobasic.com/sars-cov-2-covid-19-rt-qpcr-detection-kit/" TargetMode="External"/><Relationship Id="rId125" Type="http://schemas.openxmlformats.org/officeDocument/2006/relationships/hyperlink" Target="https://www.stat.gouv.qc.ca/statistiques/travail-remuneration/remuneration-globale/globale-salaires/emplois-reperes/305empl_an.htm" TargetMode="External"/><Relationship Id="rId141" Type="http://schemas.openxmlformats.org/officeDocument/2006/relationships/hyperlink" Target="https://neuvoo.ca/salary/?job=Laboratory%20Coordinator" TargetMode="External"/><Relationship Id="rId146" Type="http://schemas.openxmlformats.org/officeDocument/2006/relationships/hyperlink" Target="https://www.canadiansafetysupplies.com/N95-Particulate-Respirator-3M-p/8511.htm" TargetMode="External"/><Relationship Id="rId167" Type="http://schemas.openxmlformats.org/officeDocument/2006/relationships/printerSettings" Target="../printerSettings/printerSettings2.bin"/><Relationship Id="rId7" Type="http://schemas.openxmlformats.org/officeDocument/2006/relationships/hyperlink" Target="http://www.fiqsante.qc.ca/wp-content/uploads/2016/10/Echelles_salariales_Web_2016-2020_FR.pdf?download=1" TargetMode="External"/><Relationship Id="rId71" Type="http://schemas.openxmlformats.org/officeDocument/2006/relationships/hyperlink" Target="https://www.biobasic.com/sars-cov-2-covid-19-rt-qpcr-detection-kit/" TargetMode="External"/><Relationship Id="rId92" Type="http://schemas.openxmlformats.org/officeDocument/2006/relationships/hyperlink" Target="https://www.grainger.ca/en/product/EAR-LOOP-MASK-BLUE%2CPK-50/p/WWG9E274" TargetMode="External"/><Relationship Id="rId162" Type="http://schemas.openxmlformats.org/officeDocument/2006/relationships/hyperlink" Target="https://www.canadiantire.ca/en/pdp/frank-disposable-vinyl-nitrile-gloves-50-pk-0428456p.html" TargetMode="External"/><Relationship Id="rId2" Type="http://schemas.openxmlformats.org/officeDocument/2006/relationships/hyperlink" Target="http://www.fiqsante.qc.ca/wp-content/uploads/2016/10/Echelles_salariales_Web_2016-2020_FR.pdf?download=1" TargetMode="External"/><Relationship Id="rId29" Type="http://schemas.openxmlformats.org/officeDocument/2006/relationships/hyperlink" Target="http://www.fiqsante.qc.ca/wp-content/uploads/2016/10/Echelles_salariales_Web_2016-2020_FR.pdf?download=1" TargetMode="External"/><Relationship Id="rId24" Type="http://schemas.openxmlformats.org/officeDocument/2006/relationships/hyperlink" Target="http://www.fiqsante.qc.ca/wp-content/uploads/2016/10/Echelles_salariales_Web_2016-2020_FR.pdf?download=1" TargetMode="External"/><Relationship Id="rId40" Type="http://schemas.openxmlformats.org/officeDocument/2006/relationships/hyperlink" Target="http://imt.emploiquebec.gouv.qc.ca/mtg/inter/noncache/contenu/asp/mtg122_sommprofs_01.asp?aprof=3414&amp;PT4=53&amp;lang=ANGL&amp;Porte=1&amp;cregncmp1=QC&amp;ssai=0&amp;motpro=transport+attendant&amp;pro=3414&amp;PT2=21&amp;cregn=QC&amp;PT1=25&amp;type=01&amp;PT3=10" TargetMode="External"/><Relationship Id="rId45" Type="http://schemas.openxmlformats.org/officeDocument/2006/relationships/hyperlink" Target="https://www.stat.gouv.qc.ca/statistiques/travail-remuneration/remuneration-globale/globale-salaires/emplois-reperes/305empl_an.htm" TargetMode="External"/><Relationship Id="rId66" Type="http://schemas.openxmlformats.org/officeDocument/2006/relationships/hyperlink" Target="https://www.canadiantire.ca/en/pdp/frank-disposable-vinyl-nitrile-gloves-50-pk-0428456p.html" TargetMode="External"/><Relationship Id="rId87"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10" Type="http://schemas.openxmlformats.org/officeDocument/2006/relationships/hyperlink" Target="https://www.stat.gouv.qc.ca/statistiques/travail-remuneration/remuneration-globale/globale-salaires/emplois-reperes/305empl_an.htm" TargetMode="External"/><Relationship Id="rId115" Type="http://schemas.openxmlformats.org/officeDocument/2006/relationships/hyperlink" Target="https://www.canadiantire.ca/en/pdp/frank-disposable-vinyl-nitrile-gloves-50-pk-0428456p.html" TargetMode="External"/><Relationship Id="rId131" Type="http://schemas.openxmlformats.org/officeDocument/2006/relationships/hyperlink" Target="https://www.homedepot.com/p/3M-Clear-Professional-Face-Shield-90028-80025/202195394" TargetMode="External"/><Relationship Id="rId136" Type="http://schemas.openxmlformats.org/officeDocument/2006/relationships/hyperlink" Target="https://www.stat.gouv.qc.ca/statistiques/travail-remuneration/remuneration-globale/globale-salaires/emplois-reperes/305empl_an.htm" TargetMode="External"/><Relationship Id="rId157" Type="http://schemas.openxmlformats.org/officeDocument/2006/relationships/hyperlink" Target="https://www.roche.com/media/releases/med-cor-2020-04-17.htm" TargetMode="External"/><Relationship Id="rId61" Type="http://schemas.openxmlformats.org/officeDocument/2006/relationships/hyperlink" Target="https://www.stat.gouv.qc.ca/statistiques/travail-remuneration/remuneration-globale/globale-salaires/emplois-reperes/305empl_an.htm" TargetMode="External"/><Relationship Id="rId82" Type="http://schemas.openxmlformats.org/officeDocument/2006/relationships/hyperlink" Target="https://www.homedepot.com/p/3M-Clear-Professional-Face-Shield-90028-80025/202195394" TargetMode="External"/><Relationship Id="rId152" Type="http://schemas.openxmlformats.org/officeDocument/2006/relationships/hyperlink" Target="https://www.fishersci.ca/shop/products/fisherbrand-biohazard-specimen-transport-bags-10/0180004" TargetMode="External"/><Relationship Id="rId19" Type="http://schemas.openxmlformats.org/officeDocument/2006/relationships/hyperlink" Target="https://www.canadiantire.ca/en/pdp/frank-disposable-vinyl-nitrile-gloves-50-pk-0428456p.html" TargetMode="External"/><Relationship Id="rId14" Type="http://schemas.openxmlformats.org/officeDocument/2006/relationships/hyperlink" Target="https://www.canadiantire.ca/en/pdp/frank-disposable-vinyl-nitrile-gloves-50-pk-0428456p.html" TargetMode="External"/><Relationship Id="rId30" Type="http://schemas.openxmlformats.org/officeDocument/2006/relationships/hyperlink" Target="https://www.canadiantire.ca/en/pdp/frank-disposable-vinyl-nitrile-gloves-50-pk-0428456p.html" TargetMode="External"/><Relationship Id="rId35" Type="http://schemas.openxmlformats.org/officeDocument/2006/relationships/hyperlink" Target="http://imt.emploiquebec.gouv.qc.ca/mtg/inter/noncache/contenu/asp/mtg122_sommprofs_01.asp?aprof=3414&amp;PT4=53&amp;lang=ANGL&amp;Porte=1&amp;cregncmp1=QC&amp;ssai=0&amp;motpro=transport+attendant&amp;pro=3414&amp;PT2=21&amp;cregn=QC&amp;PT1=25&amp;type=01&amp;PT3=10" TargetMode="External"/><Relationship Id="rId56" Type="http://schemas.openxmlformats.org/officeDocument/2006/relationships/hyperlink" Target="https://www.biobasic.com/96-well-plate-viral-dna-miniprep-kit/" TargetMode="External"/><Relationship Id="rId77"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00"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05" Type="http://schemas.openxmlformats.org/officeDocument/2006/relationships/hyperlink" Target="https://www.biobasic.com/96-well-plate-viral-dna-miniprep-kit/" TargetMode="External"/><Relationship Id="rId126" Type="http://schemas.openxmlformats.org/officeDocument/2006/relationships/hyperlink" Target="https://www.stat.gouv.qc.ca/statistiques/travail-remuneration/remuneration-globale/globale-salaires/emplois-reperes/305empl_an.htm" TargetMode="External"/><Relationship Id="rId147" Type="http://schemas.openxmlformats.org/officeDocument/2006/relationships/hyperlink" Target="https://www.biobasic.com/96-well-plate-viral-dna-miniprep-kit/" TargetMode="External"/><Relationship Id="rId8"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51"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7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9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98" Type="http://schemas.openxmlformats.org/officeDocument/2006/relationships/hyperlink" Target="https://www.stat.gouv.qc.ca/statistiques/travail-remuneration/remuneration-globale/globale-salaires/emplois-reperes/305empl_an.htm" TargetMode="External"/><Relationship Id="rId12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42"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63" Type="http://schemas.openxmlformats.org/officeDocument/2006/relationships/hyperlink" Target="https://www.homedepot.com/p/3M-Clear-Professional-Face-Shield-90028-80025/202195394" TargetMode="External"/><Relationship Id="rId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5"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46" Type="http://schemas.openxmlformats.org/officeDocument/2006/relationships/hyperlink" Target="https://www.stat.gouv.qc.ca/statistiques/travail-remuneration/remuneration-globale/globale-salaires/emplois-reperes/305empl_an.htm" TargetMode="External"/><Relationship Id="rId67" Type="http://schemas.openxmlformats.org/officeDocument/2006/relationships/hyperlink" Target="https://www.canadiantire.ca/en/pdp/frank-disposable-vinyl-nitrile-gloves-50-pk-0428456p.html" TargetMode="External"/><Relationship Id="rId116" Type="http://schemas.openxmlformats.org/officeDocument/2006/relationships/hyperlink" Target="https://www.canadiantire.ca/en/pdp/frank-disposable-vinyl-nitrile-gloves-50-pk-0428456p.html" TargetMode="External"/><Relationship Id="rId137" Type="http://schemas.openxmlformats.org/officeDocument/2006/relationships/hyperlink" Target="https://www.stat.gouv.qc.ca/statistiques/travail-remuneration/remuneration-globale/globale-salaires/emplois-reperes/305empl_an.htm" TargetMode="External"/><Relationship Id="rId158" Type="http://schemas.openxmlformats.org/officeDocument/2006/relationships/hyperlink" Target="https://www.stat.gouv.qc.ca/statistiques/travail-remuneration/remuneration-globale/globale-salaires/emplois-reperes/305empl_an.htm" TargetMode="External"/><Relationship Id="rId20" Type="http://schemas.openxmlformats.org/officeDocument/2006/relationships/hyperlink" Target="https://www.homedepot.com/p/3M-Clear-Professional-Face-Shield-90028-80025/202195394" TargetMode="External"/><Relationship Id="rId41" Type="http://schemas.openxmlformats.org/officeDocument/2006/relationships/hyperlink" Target="https://www.caaquebec.com/en/on-the-road/public-interest/gasoline-matters/gasoline-watch/" TargetMode="External"/><Relationship Id="rId62" Type="http://schemas.openxmlformats.org/officeDocument/2006/relationships/hyperlink" Target="https://www.stat.gouv.qc.ca/statistiques/travail-remuneration/remuneration-globale/globale-salaires/emplois-reperes/305empl_an.htm" TargetMode="External"/><Relationship Id="rId83" Type="http://schemas.openxmlformats.org/officeDocument/2006/relationships/hyperlink" Target="https://www.canadiansafetysupplies.com/N95-Particulate-Respirator-3M-p/8511.htm" TargetMode="External"/><Relationship Id="rId88" Type="http://schemas.openxmlformats.org/officeDocument/2006/relationships/hyperlink" Target="https://www.canadiantire.ca/en/pdp/frank-disposable-vinyl-nitrile-gloves-50-pk-0428456p.html" TargetMode="External"/><Relationship Id="rId111" Type="http://schemas.openxmlformats.org/officeDocument/2006/relationships/hyperlink" Target="https://www.stat.gouv.qc.ca/statistiques/travail-remuneration/remuneration-globale/globale-salaires/emplois-reperes/305empl_an.htm" TargetMode="External"/><Relationship Id="rId132" Type="http://schemas.openxmlformats.org/officeDocument/2006/relationships/hyperlink" Target="https://www.canadiansafetysupplies.com/N95-Particulate-Respirator-3M-p/8511.htm" TargetMode="External"/><Relationship Id="rId15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5" Type="http://schemas.openxmlformats.org/officeDocument/2006/relationships/hyperlink" Target="https://www.homedepot.com/p/3M-Clear-Professional-Face-Shield-90028-80025/202195394" TargetMode="External"/><Relationship Id="rId36" Type="http://schemas.openxmlformats.org/officeDocument/2006/relationships/hyperlink" Target="https://www.caaquebec.com/en/on-the-road/public-interest/gasoline-matters/gasoline-watch/" TargetMode="External"/><Relationship Id="rId57" Type="http://schemas.openxmlformats.org/officeDocument/2006/relationships/hyperlink" Target="https://www.biobasic.com/sars-cov-2-covid-19-rt-qpcr-detection-kit/" TargetMode="External"/><Relationship Id="rId106" Type="http://schemas.openxmlformats.org/officeDocument/2006/relationships/hyperlink" Target="https://www.biobasic.com/sars-cov-2-covid-19-rt-qpcr-detection-kit/" TargetMode="External"/><Relationship Id="rId127" Type="http://schemas.openxmlformats.org/officeDocument/2006/relationships/hyperlink" Target="https://neuvoo.ca/salary/?job=Laboratory%20Coordinator" TargetMode="External"/><Relationship Id="rId10" Type="http://schemas.openxmlformats.org/officeDocument/2006/relationships/hyperlink" Target="https://www.stat.gouv.qc.ca/statistiques/travail-remuneration/remuneration-globale/globale-salaires/emplois-reperes/305empl_an.htm" TargetMode="External"/><Relationship Id="rId31" Type="http://schemas.openxmlformats.org/officeDocument/2006/relationships/hyperlink" Target="https://www.canadiantire.ca/en/pdp/frank-disposable-vinyl-nitrile-gloves-50-pk-0428456p.html" TargetMode="External"/><Relationship Id="rId52" Type="http://schemas.openxmlformats.org/officeDocument/2006/relationships/hyperlink" Target="https://www.canadiantire.ca/en/pdp/frank-disposable-vinyl-nitrile-gloves-50-pk-0428456p.html" TargetMode="External"/><Relationship Id="rId73" Type="http://schemas.openxmlformats.org/officeDocument/2006/relationships/hyperlink" Target="http://www.fiqsante.qc.ca/wp-content/uploads/2016/10/Echelles_salariales_Web_2016-2020_FR.pdf?download=1" TargetMode="External"/><Relationship Id="rId78" Type="http://schemas.openxmlformats.org/officeDocument/2006/relationships/hyperlink" Target="http://www.fiqsante.qc.ca/wp-content/uploads/2016/10/Echelles_salariales_Web_2016-2020_FR.pdf?download=1" TargetMode="External"/><Relationship Id="rId94" Type="http://schemas.openxmlformats.org/officeDocument/2006/relationships/hyperlink" Target="https://www.stat.gouv.qc.ca/statistiques/travail-remuneration/remuneration-globale/globale-salaires/emplois-reperes/305empl_an.htm" TargetMode="External"/><Relationship Id="rId99" Type="http://schemas.openxmlformats.org/officeDocument/2006/relationships/hyperlink" Target="https://neuvoo.ca/salary/?job=Laboratory%20Coordinator" TargetMode="External"/><Relationship Id="rId101" Type="http://schemas.openxmlformats.org/officeDocument/2006/relationships/hyperlink" Target="https://www.canadiantire.ca/en/pdp/frank-disposable-vinyl-nitrile-gloves-50-pk-0428456p.html" TargetMode="External"/><Relationship Id="rId122" Type="http://schemas.openxmlformats.org/officeDocument/2006/relationships/hyperlink" Target="https://www.stat.gouv.qc.ca/statistiques/travail-remuneration/remuneration-globale/globale-salaires/emplois-reperes/305empl_an.htm" TargetMode="External"/><Relationship Id="rId143" Type="http://schemas.openxmlformats.org/officeDocument/2006/relationships/hyperlink" Target="https://www.canadiantire.ca/en/pdp/frank-disposable-vinyl-nitrile-gloves-50-pk-0428456p.html" TargetMode="External"/><Relationship Id="rId148" Type="http://schemas.openxmlformats.org/officeDocument/2006/relationships/hyperlink" Target="https://www.biobasic.com/sars-cov-2-covid-19-rt-qpcr-detection-kit/" TargetMode="External"/><Relationship Id="rId164" Type="http://schemas.openxmlformats.org/officeDocument/2006/relationships/hyperlink" Target="https://www.canadiansafetysupplies.com/N95-Particulate-Respirator-3M-p/8511.htm" TargetMode="External"/><Relationship Id="rId4" Type="http://schemas.openxmlformats.org/officeDocument/2006/relationships/hyperlink" Target="http://www.fiqsante.qc.ca/wp-content/uploads/2016/10/Echelles_salariales_Web_2016-2020_FR.pdf?download=1" TargetMode="External"/><Relationship Id="rId9"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26"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47" Type="http://schemas.openxmlformats.org/officeDocument/2006/relationships/hyperlink" Target="https://www.stat.gouv.qc.ca/statistiques/travail-remuneration/remuneration-globale/globale-salaires/emplois-reperes/305empl_an.htm" TargetMode="External"/><Relationship Id="rId68" Type="http://schemas.openxmlformats.org/officeDocument/2006/relationships/hyperlink" Target="https://www.homedepot.com/p/3M-Clear-Professional-Face-Shield-90028-80025/202195394" TargetMode="External"/><Relationship Id="rId89" Type="http://schemas.openxmlformats.org/officeDocument/2006/relationships/hyperlink" Target="https://www.canadiantire.ca/en/pdp/frank-disposable-vinyl-nitrile-gloves-50-pk-0428456p.html" TargetMode="External"/><Relationship Id="rId112" Type="http://schemas.openxmlformats.org/officeDocument/2006/relationships/hyperlink" Target="https://www.stat.gouv.qc.ca/statistiques/travail-remuneration/remuneration-globale/globale-salaires/emplois-reperes/305empl_an.htm" TargetMode="External"/><Relationship Id="rId133" Type="http://schemas.openxmlformats.org/officeDocument/2006/relationships/hyperlink" Target="https://www.biobasic.com/96-well-plate-viral-dna-miniprep-kit/" TargetMode="External"/><Relationship Id="rId154" Type="http://schemas.openxmlformats.org/officeDocument/2006/relationships/hyperlink" Target="https://www.stat.gouv.qc.ca/statistiques/travail-remuneration/remuneration-globale/globale-salaires/emplois-reperes/305empl_an.htm" TargetMode="External"/><Relationship Id="rId16" Type="http://schemas.openxmlformats.org/officeDocument/2006/relationships/hyperlink" Target="https://www.canadiansafetysupplies.com/N95-Particulate-Respirator-3M-p/8511.htm" TargetMode="External"/><Relationship Id="rId37" Type="http://schemas.openxmlformats.org/officeDocument/2006/relationships/hyperlink" Target="https://ciusss-centresudmtl.gouv.qc.ca/actualite/covid-19-ouverture-dune-clinique-de-depistage-sans-rendez-vous-pour-augmenter-le-nombre-de-depistages" TargetMode="External"/><Relationship Id="rId58"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79"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02" Type="http://schemas.openxmlformats.org/officeDocument/2006/relationships/hyperlink" Target="https://www.canadiantire.ca/en/pdp/frank-disposable-vinyl-nitrile-gloves-50-pk-0428456p.html" TargetMode="External"/><Relationship Id="rId123" Type="http://schemas.openxmlformats.org/officeDocument/2006/relationships/hyperlink" Target="https://www.stat.gouv.qc.ca/statistiques/travail-remuneration/remuneration-globale/globale-salaires/emplois-reperes/305empl_an.htm" TargetMode="External"/><Relationship Id="rId144" Type="http://schemas.openxmlformats.org/officeDocument/2006/relationships/hyperlink" Target="https://www.canadiantire.ca/en/pdp/frank-disposable-vinyl-nitrile-gloves-50-pk-0428456p.html" TargetMode="External"/><Relationship Id="rId90" Type="http://schemas.openxmlformats.org/officeDocument/2006/relationships/hyperlink" Target="https://www.homedepot.com/p/3M-Clear-Professional-Face-Shield-90028-80025/202195394" TargetMode="External"/><Relationship Id="rId165" Type="http://schemas.openxmlformats.org/officeDocument/2006/relationships/hyperlink" Target="https://www.biobasic.com/96-well-plate-viral-dna-miniprep-kit/" TargetMode="External"/><Relationship Id="rId27" Type="http://schemas.openxmlformats.org/officeDocument/2006/relationships/hyperlink" Target="https://www.stat.gouv.qc.ca/statistiques/travail-remuneration/remuneration-globale/globale-salaires/emplois-reperes/305empl_an.htm" TargetMode="External"/><Relationship Id="rId48" Type="http://schemas.openxmlformats.org/officeDocument/2006/relationships/hyperlink" Target="https://www.stat.gouv.qc.ca/statistiques/travail-remuneration/remuneration-globale/globale-salaires/emplois-reperes/305empl_an.htm" TargetMode="External"/><Relationship Id="rId69" Type="http://schemas.openxmlformats.org/officeDocument/2006/relationships/hyperlink" Target="https://www.canadiansafetysupplies.com/N95-Particulate-Respirator-3M-p/8511.htm" TargetMode="External"/><Relationship Id="rId113" Type="http://schemas.openxmlformats.org/officeDocument/2006/relationships/hyperlink" Target="https://neuvoo.ca/salary/?job=Laboratory%20Coordinator" TargetMode="External"/><Relationship Id="rId134" Type="http://schemas.openxmlformats.org/officeDocument/2006/relationships/hyperlink" Target="https://www.biobasic.com/sars-cov-2-covid-19-rt-qpcr-detection-kit/" TargetMode="External"/><Relationship Id="rId80" Type="http://schemas.openxmlformats.org/officeDocument/2006/relationships/hyperlink" Target="https://www.canadiantire.ca/en/pdp/frank-disposable-vinyl-nitrile-gloves-50-pk-0428456p.html" TargetMode="External"/><Relationship Id="rId155" Type="http://schemas.openxmlformats.org/officeDocument/2006/relationships/hyperlink" Target="https://www.stat.gouv.qc.ca/statistiques/travail-remuneration/remuneration-globale/globale-salaires/emplois-reperes/305empl_an.htm" TargetMode="External"/></Relationships>
</file>

<file path=xl/worksheets/_rels/sheet3.xml.rels><?xml version="1.0" encoding="UTF-8" standalone="yes"?>
<Relationships xmlns="http://schemas.openxmlformats.org/package/2006/relationships"><Relationship Id="rId117" Type="http://schemas.openxmlformats.org/officeDocument/2006/relationships/hyperlink" Target="https://www.canadiansafetysupplies.com/N95-Particulate-Respirator-3M-p/8511.htm" TargetMode="External"/><Relationship Id="rId21" Type="http://schemas.openxmlformats.org/officeDocument/2006/relationships/hyperlink" Target="https://www.stat.gouv.qc.ca/statistiques/travail-remuneration/remuneration-globale/globale-salaires/emplois-reperes/305empl_an.htm" TargetMode="External"/><Relationship Id="rId42" Type="http://schemas.openxmlformats.org/officeDocument/2006/relationships/hyperlink" Target="https://www.homedepot.com/p/3M-Clear-Professional-Face-Shield-90028-80025/202195394" TargetMode="External"/><Relationship Id="rId63" Type="http://schemas.openxmlformats.org/officeDocument/2006/relationships/hyperlink" Target="http://www.fiqsante.qc.ca/wp-content/uploads/2016/10/Echelles_salariales_Web_2016-2020_FR.pdf?download=1" TargetMode="External"/><Relationship Id="rId84" Type="http://schemas.openxmlformats.org/officeDocument/2006/relationships/hyperlink" Target="https://neuvoo.ca/salary/?job=Laboratory%20Coordinator" TargetMode="External"/><Relationship Id="rId138" Type="http://schemas.openxmlformats.org/officeDocument/2006/relationships/hyperlink" Target="https://www.fishersci.ca/shop/products/bd-micro-fine-contact-activated-lancet-3/p-3491417" TargetMode="External"/><Relationship Id="rId159" Type="http://schemas.openxmlformats.org/officeDocument/2006/relationships/hyperlink" Target="https://www.stat.gouv.qc.ca/statistiques/travail-remuneration/remuneration-globale/globale-salaires/emplois-reperes/305empl_an.htm" TargetMode="External"/><Relationship Id="rId107" Type="http://schemas.openxmlformats.org/officeDocument/2006/relationships/hyperlink" Target="https://www.stat.gouv.qc.ca/statistiques/travail-remuneration/remuneration-globale/globale-salaires/emplois-reperes/305empl_an.htm" TargetMode="External"/><Relationship Id="rId11"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3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53" Type="http://schemas.openxmlformats.org/officeDocument/2006/relationships/hyperlink" Target="https://www.canadiansafetysupplies.com/N95-Particulate-Respirator-3M-p/8511.htm" TargetMode="External"/><Relationship Id="rId74" Type="http://schemas.openxmlformats.org/officeDocument/2006/relationships/hyperlink" Target="https://www.canadiantire.ca/en/pdp/frank-disposable-vinyl-nitrile-gloves-50-pk-0428456p.html" TargetMode="External"/><Relationship Id="rId128" Type="http://schemas.openxmlformats.org/officeDocument/2006/relationships/hyperlink" Target="https://www.canadiantire.ca/en/pdp/frank-disposable-vinyl-nitrile-gloves-50-pk-0428456p.html" TargetMode="External"/><Relationship Id="rId149" Type="http://schemas.openxmlformats.org/officeDocument/2006/relationships/hyperlink" Target="https://www.canadiantire.ca/en/pdp/frank-disposable-vinyl-nitrile-gloves-50-pk-0428456p.html" TargetMode="External"/><Relationship Id="rId5" Type="http://schemas.openxmlformats.org/officeDocument/2006/relationships/hyperlink" Target="https://www.stat.gouv.qc.ca/statistiques/travail-remuneration/remuneration-globale/globale-salaires/emplois-reperes/305empl_an.htm" TargetMode="External"/><Relationship Id="rId95" Type="http://schemas.openxmlformats.org/officeDocument/2006/relationships/hyperlink" Target="https://www.stat.gouv.qc.ca/statistiques/travail-remuneration/remuneration-globale/globale-salaires/emplois-reperes/305empl_an.htm" TargetMode="External"/><Relationship Id="rId160" Type="http://schemas.openxmlformats.org/officeDocument/2006/relationships/hyperlink" Target="https://neuvoo.ca/salary/?job=Laboratory%20Coordinator" TargetMode="External"/><Relationship Id="rId22" Type="http://schemas.openxmlformats.org/officeDocument/2006/relationships/hyperlink" Target="https://www.stat.gouv.qc.ca/statistiques/travail-remuneration/remuneration-globale/globale-salaires/emplois-reperes/305empl_an.htm" TargetMode="External"/><Relationship Id="rId43" Type="http://schemas.openxmlformats.org/officeDocument/2006/relationships/hyperlink" Target="https://www.canadiansafetysupplies.com/N95-Particulate-Respirator-3M-p/8511.htm" TargetMode="External"/><Relationship Id="rId64"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18" Type="http://schemas.openxmlformats.org/officeDocument/2006/relationships/hyperlink" Target="https://www.biobasic.com/96-well-plate-viral-dna-miniprep-kit/" TargetMode="External"/><Relationship Id="rId139" Type="http://schemas.openxmlformats.org/officeDocument/2006/relationships/hyperlink" Target="https://www.fishersci.ca/shop/products/bd-micro-fine-contact-activated-lancet-3/p-3491417" TargetMode="External"/><Relationship Id="rId85"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50" Type="http://schemas.openxmlformats.org/officeDocument/2006/relationships/hyperlink" Target="https://www.canadiantire.ca/en/pdp/frank-disposable-vinyl-nitrile-gloves-50-pk-0428456p.html" TargetMode="External"/><Relationship Id="rId12" Type="http://schemas.openxmlformats.org/officeDocument/2006/relationships/hyperlink" Target="https://www.canadiantire.ca/en/pdp/frank-disposable-vinyl-nitrile-gloves-50-pk-0428456p.html" TargetMode="External"/><Relationship Id="rId33" Type="http://schemas.openxmlformats.org/officeDocument/2006/relationships/hyperlink" Target="http://www.fiqsante.qc.ca/wp-content/uploads/2016/10/Echelles_salariales_Web_2016-2020_FR.pdf?download=1" TargetMode="External"/><Relationship Id="rId108" Type="http://schemas.openxmlformats.org/officeDocument/2006/relationships/hyperlink" Target="https://www.stat.gouv.qc.ca/statistiques/travail-remuneration/remuneration-globale/globale-salaires/emplois-reperes/305empl_an.htm" TargetMode="External"/><Relationship Id="rId129" Type="http://schemas.openxmlformats.org/officeDocument/2006/relationships/hyperlink" Target="https://www.canadiantire.ca/en/pdp/frank-disposable-vinyl-nitrile-gloves-50-pk-0428456p.html" TargetMode="External"/><Relationship Id="rId54" Type="http://schemas.openxmlformats.org/officeDocument/2006/relationships/hyperlink" Target="https://www.grainger.ca/en/product/EAR-LOOP-MASK-BLUE%2CPK-50/p/WWG9E274" TargetMode="External"/><Relationship Id="rId70"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75" Type="http://schemas.openxmlformats.org/officeDocument/2006/relationships/hyperlink" Target="https://www.homedepot.com/p/3M-Clear-Professional-Face-Shield-90028-80025/202195394" TargetMode="External"/><Relationship Id="rId91" Type="http://schemas.openxmlformats.org/officeDocument/2006/relationships/hyperlink" Target="https://www.biobasic.com/sars-cov-2-covid-19-rt-qpcr-detection-kit/" TargetMode="External"/><Relationship Id="rId96" Type="http://schemas.openxmlformats.org/officeDocument/2006/relationships/hyperlink" Target="https://www.stat.gouv.qc.ca/statistiques/travail-remuneration/remuneration-globale/globale-salaires/emplois-reperes/305empl_an.htm" TargetMode="External"/><Relationship Id="rId140" Type="http://schemas.openxmlformats.org/officeDocument/2006/relationships/hyperlink" Target="https://www.fishersci.ca/shop/products/bd-micro-fine-contact-activated-lancet-3/p-3491417" TargetMode="External"/><Relationship Id="rId145" Type="http://schemas.openxmlformats.org/officeDocument/2006/relationships/hyperlink" Target="https://www.stat.gouv.qc.ca/statistiques/travail-remuneration/remuneration-globale/globale-salaires/emplois-reperes/305empl_an.htm" TargetMode="External"/><Relationship Id="rId161"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66" Type="http://schemas.openxmlformats.org/officeDocument/2006/relationships/hyperlink" Target="https://www.biobasic.com/96-well-plate-viral-dna-miniprep-kit/" TargetMode="External"/><Relationship Id="rId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6" Type="http://schemas.openxmlformats.org/officeDocument/2006/relationships/hyperlink" Target="https://www.stat.gouv.qc.ca/statistiques/travail-remuneration/remuneration-globale/globale-salaires/emplois-reperes/305empl_an.htm" TargetMode="External"/><Relationship Id="rId23" Type="http://schemas.openxmlformats.org/officeDocument/2006/relationships/hyperlink" Target="https://www.stat.gouv.qc.ca/statistiques/travail-remuneration/remuneration-globale/globale-salaires/emplois-reperes/305empl_an.htm" TargetMode="External"/><Relationship Id="rId28" Type="http://schemas.openxmlformats.org/officeDocument/2006/relationships/hyperlink" Target="https://www.homedepot.com/p/3M-Clear-Professional-Face-Shield-90028-80025/202195394" TargetMode="External"/><Relationship Id="rId49" Type="http://schemas.openxmlformats.org/officeDocument/2006/relationships/hyperlink" Target="https://www.stat.gouv.qc.ca/statistiques/travail-remuneration/remuneration-globale/globale-salaires/emplois-reperes/305empl_an.htm" TargetMode="External"/><Relationship Id="rId114" Type="http://schemas.openxmlformats.org/officeDocument/2006/relationships/hyperlink" Target="https://www.canadiantire.ca/en/pdp/frank-disposable-vinyl-nitrile-gloves-50-pk-0428456p.html" TargetMode="External"/><Relationship Id="rId119" Type="http://schemas.openxmlformats.org/officeDocument/2006/relationships/hyperlink" Target="https://www.biobasic.com/sars-cov-2-covid-19-rt-qpcr-detection-kit/" TargetMode="External"/><Relationship Id="rId44" Type="http://schemas.openxmlformats.org/officeDocument/2006/relationships/hyperlink" Target="https://www.grainger.ca/en/product/EAR-LOOP-MASK-BLUE%2CPK-50/p/WWG9E274" TargetMode="External"/><Relationship Id="rId60" Type="http://schemas.openxmlformats.org/officeDocument/2006/relationships/hyperlink" Target="http://www.fiqsante.qc.ca/wp-content/uploads/2016/10/Echelles_salariales_Web_2016-2020_FR.pdf?download=1" TargetMode="External"/><Relationship Id="rId65" Type="http://schemas.openxmlformats.org/officeDocument/2006/relationships/hyperlink" Target="https://www.canadiantire.ca/en/pdp/frank-disposable-vinyl-nitrile-gloves-50-pk-0428456p.html" TargetMode="External"/><Relationship Id="rId81" Type="http://schemas.openxmlformats.org/officeDocument/2006/relationships/hyperlink" Target="https://www.stat.gouv.qc.ca/statistiques/travail-remuneration/remuneration-globale/globale-salaires/emplois-reperes/305empl_an.htm" TargetMode="External"/><Relationship Id="rId86" Type="http://schemas.openxmlformats.org/officeDocument/2006/relationships/hyperlink" Target="https://www.canadiantire.ca/en/pdp/frank-disposable-vinyl-nitrile-gloves-50-pk-0428456p.html" TargetMode="External"/><Relationship Id="rId130" Type="http://schemas.openxmlformats.org/officeDocument/2006/relationships/hyperlink" Target="https://www.homedepot.com/p/3M-Clear-Professional-Face-Shield-90028-80025/202195394" TargetMode="External"/><Relationship Id="rId135" Type="http://schemas.openxmlformats.org/officeDocument/2006/relationships/hyperlink" Target="https://www.fishersci.ca/shop/products/bd-micro-fine-contact-activated-lancet-3/p-3491417" TargetMode="External"/><Relationship Id="rId151" Type="http://schemas.openxmlformats.org/officeDocument/2006/relationships/hyperlink" Target="https://www.homedepot.com/p/3M-Clear-Professional-Face-Shield-90028-80025/202195394" TargetMode="External"/><Relationship Id="rId156" Type="http://schemas.openxmlformats.org/officeDocument/2006/relationships/hyperlink" Target="https://www.stat.gouv.qc.ca/statistiques/travail-remuneration/remuneration-globale/globale-salaires/emplois-reperes/305empl_an.htm" TargetMode="External"/><Relationship Id="rId13" Type="http://schemas.openxmlformats.org/officeDocument/2006/relationships/hyperlink" Target="https://www.canadiantire.ca/en/pdp/frank-disposable-vinyl-nitrile-gloves-50-pk-0428456p.html" TargetMode="External"/><Relationship Id="rId18"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39" Type="http://schemas.openxmlformats.org/officeDocument/2006/relationships/hyperlink" Target="https://www.stat.gouv.qc.ca/statistiques/travail-remuneration/remuneration-globale/globale-salaires/emplois-reperes/305empl_an.htm" TargetMode="External"/><Relationship Id="rId109" Type="http://schemas.openxmlformats.org/officeDocument/2006/relationships/hyperlink" Target="https://www.stat.gouv.qc.ca/statistiques/travail-remuneration/remuneration-globale/globale-salaires/emplois-reperes/305empl_an.htm" TargetMode="External"/><Relationship Id="rId34" Type="http://schemas.openxmlformats.org/officeDocument/2006/relationships/hyperlink" Target="http://www.fiqsante.qc.ca/wp-content/uploads/2016/10/Echelles_salariales_Web_2016-2020_FR.pdf?download=1" TargetMode="External"/><Relationship Id="rId50" Type="http://schemas.openxmlformats.org/officeDocument/2006/relationships/hyperlink" Target="https://www.canadiantire.ca/en/pdp/frank-disposable-vinyl-nitrile-gloves-50-pk-0428456p.html" TargetMode="External"/><Relationship Id="rId55" Type="http://schemas.openxmlformats.org/officeDocument/2006/relationships/hyperlink" Target="http://imt.emploiquebec.gouv.qc.ca/mtg/inter/noncache/contenu/asp/mtg122_sommprofs_01.asp?aprof=3414&amp;PT4=53&amp;lang=ANGL&amp;Porte=1&amp;cregncmp1=QC&amp;ssai=0&amp;motpro=transport+attendant&amp;pro=3414&amp;PT2=21&amp;cregn=QC&amp;PT1=25&amp;type=01&amp;PT3=10" TargetMode="External"/><Relationship Id="rId76" Type="http://schemas.openxmlformats.org/officeDocument/2006/relationships/hyperlink" Target="https://www.canadiansafetysupplies.com/N95-Particulate-Respirator-3M-p/8511.htm" TargetMode="External"/><Relationship Id="rId97" Type="http://schemas.openxmlformats.org/officeDocument/2006/relationships/hyperlink" Target="https://www.stat.gouv.qc.ca/statistiques/travail-remuneration/remuneration-globale/globale-salaires/emplois-reperes/305empl_an.htm" TargetMode="External"/><Relationship Id="rId104" Type="http://schemas.openxmlformats.org/officeDocument/2006/relationships/hyperlink" Target="https://www.biobasic.com/96-well-plate-viral-dna-miniprep-kit/" TargetMode="External"/><Relationship Id="rId120"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25" Type="http://schemas.openxmlformats.org/officeDocument/2006/relationships/hyperlink" Target="https://www.stat.gouv.qc.ca/statistiques/travail-remuneration/remuneration-globale/globale-salaires/emplois-reperes/305empl_an.htm" TargetMode="External"/><Relationship Id="rId14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46" Type="http://schemas.openxmlformats.org/officeDocument/2006/relationships/hyperlink" Target="https://www.stat.gouv.qc.ca/statistiques/travail-remuneration/remuneration-globale/globale-salaires/emplois-reperes/305empl_an.htm" TargetMode="External"/><Relationship Id="rId167" Type="http://schemas.openxmlformats.org/officeDocument/2006/relationships/hyperlink" Target="https://www.fishersci.ca/shop/products/therapak-corporation-coleman-excursion-handle-coolers-4/22131508" TargetMode="External"/><Relationship Id="rId7" Type="http://schemas.openxmlformats.org/officeDocument/2006/relationships/hyperlink" Target="https://www.stat.gouv.qc.ca/statistiques/travail-remuneration/remuneration-globale/globale-salaires/emplois-reperes/305empl_an.htm" TargetMode="External"/><Relationship Id="rId71" Type="http://schemas.openxmlformats.org/officeDocument/2006/relationships/hyperlink" Target="http://www.fiqsante.qc.ca/wp-content/uploads/2016/10/Echelles_salariales_Web_2016-2020_FR.pdf?download=1" TargetMode="External"/><Relationship Id="rId9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62" Type="http://schemas.openxmlformats.org/officeDocument/2006/relationships/hyperlink" Target="https://www.canadiantire.ca/en/pdp/frank-disposable-vinyl-nitrile-gloves-50-pk-0428456p.html" TargetMode="External"/><Relationship Id="rId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9" Type="http://schemas.openxmlformats.org/officeDocument/2006/relationships/hyperlink" Target="https://www.canadiansafetysupplies.com/N95-Particulate-Respirator-3M-p/8511.htm" TargetMode="External"/><Relationship Id="rId24" Type="http://schemas.openxmlformats.org/officeDocument/2006/relationships/hyperlink" Target="https://neuvoo.ca/salary/?job=Laboratory%20Coordinator" TargetMode="External"/><Relationship Id="rId40" Type="http://schemas.openxmlformats.org/officeDocument/2006/relationships/hyperlink" Target="https://www.canadiantire.ca/en/pdp/frank-disposable-vinyl-nitrile-gloves-50-pk-0428456p.html" TargetMode="External"/><Relationship Id="rId4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66" Type="http://schemas.openxmlformats.org/officeDocument/2006/relationships/hyperlink" Target="https://www.canadiantire.ca/en/pdp/frank-disposable-vinyl-nitrile-gloves-50-pk-0428456p.html" TargetMode="External"/><Relationship Id="rId87" Type="http://schemas.openxmlformats.org/officeDocument/2006/relationships/hyperlink" Target="https://www.canadiantire.ca/en/pdp/frank-disposable-vinyl-nitrile-gloves-50-pk-0428456p.html" TargetMode="External"/><Relationship Id="rId110" Type="http://schemas.openxmlformats.org/officeDocument/2006/relationships/hyperlink" Target="https://www.stat.gouv.qc.ca/statistiques/travail-remuneration/remuneration-globale/globale-salaires/emplois-reperes/305empl_an.htm" TargetMode="External"/><Relationship Id="rId115" Type="http://schemas.openxmlformats.org/officeDocument/2006/relationships/hyperlink" Target="https://www.canadiantire.ca/en/pdp/frank-disposable-vinyl-nitrile-gloves-50-pk-0428456p.html" TargetMode="External"/><Relationship Id="rId131" Type="http://schemas.openxmlformats.org/officeDocument/2006/relationships/hyperlink" Target="https://www.canadiansafetysupplies.com/N95-Particulate-Respirator-3M-p/8511.htm" TargetMode="External"/><Relationship Id="rId136" Type="http://schemas.openxmlformats.org/officeDocument/2006/relationships/hyperlink" Target="https://www.fishersci.ca/shop/products/bd-micro-fine-contact-activated-lancet-3/p-3491417" TargetMode="External"/><Relationship Id="rId157" Type="http://schemas.openxmlformats.org/officeDocument/2006/relationships/hyperlink" Target="https://www.thermofisher.com/us/en/home/references/protocols/cell-and-tissue-analysis/elisa-protocol/general-elisa-protocol.html" TargetMode="External"/><Relationship Id="rId61" Type="http://schemas.openxmlformats.org/officeDocument/2006/relationships/hyperlink" Target="http://www.fiqsante.qc.ca/wp-content/uploads/2016/10/Echelles_salariales_Web_2016-2020_FR.pdf?download=1" TargetMode="External"/><Relationship Id="rId82" Type="http://schemas.openxmlformats.org/officeDocument/2006/relationships/hyperlink" Target="https://www.stat.gouv.qc.ca/statistiques/travail-remuneration/remuneration-globale/globale-salaires/emplois-reperes/305empl_an.htm" TargetMode="External"/><Relationship Id="rId152" Type="http://schemas.openxmlformats.org/officeDocument/2006/relationships/hyperlink" Target="https://www.canadiansafetysupplies.com/N95-Particulate-Respirator-3M-p/8511.htm" TargetMode="External"/><Relationship Id="rId19" Type="http://schemas.openxmlformats.org/officeDocument/2006/relationships/hyperlink" Target="https://www.stat.gouv.qc.ca/statistiques/travail-remuneration/remuneration-globale/globale-salaires/emplois-reperes/305empl_an.htm" TargetMode="External"/><Relationship Id="rId14" Type="http://schemas.openxmlformats.org/officeDocument/2006/relationships/hyperlink" Target="https://www.homedepot.com/p/3M-Clear-Professional-Face-Shield-90028-80025/202195394" TargetMode="External"/><Relationship Id="rId30" Type="http://schemas.openxmlformats.org/officeDocument/2006/relationships/hyperlink" Target="https://www.biobasic.com/96-well-plate-viral-dna-miniprep-kit/" TargetMode="External"/><Relationship Id="rId3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56" Type="http://schemas.openxmlformats.org/officeDocument/2006/relationships/hyperlink" Target="https://www.caaquebec.com/en/on-the-road/public-interest/gasoline-matters/gasoline-watch/" TargetMode="External"/><Relationship Id="rId77" Type="http://schemas.openxmlformats.org/officeDocument/2006/relationships/hyperlink" Target="https://www.grainger.ca/en/product/EAR-LOOP-MASK-BLUE%2CPK-50/p/WWG9E274" TargetMode="External"/><Relationship Id="rId100" Type="http://schemas.openxmlformats.org/officeDocument/2006/relationships/hyperlink" Target="https://www.canadiantire.ca/en/pdp/frank-disposable-vinyl-nitrile-gloves-50-pk-0428456p.html" TargetMode="External"/><Relationship Id="rId105" Type="http://schemas.openxmlformats.org/officeDocument/2006/relationships/hyperlink" Target="https://www.biobasic.com/sars-cov-2-covid-19-rt-qpcr-detection-kit/" TargetMode="External"/><Relationship Id="rId126" Type="http://schemas.openxmlformats.org/officeDocument/2006/relationships/hyperlink" Target="https://neuvoo.ca/salary/?job=Laboratory%20Coordinator" TargetMode="External"/><Relationship Id="rId147" Type="http://schemas.openxmlformats.org/officeDocument/2006/relationships/hyperlink" Target="https://neuvoo.ca/salary/?job=Laboratory%20Coordinator" TargetMode="External"/><Relationship Id="rId168" Type="http://schemas.openxmlformats.org/officeDocument/2006/relationships/hyperlink" Target="https://www.fishersci.ca/shop/products/fisherbrand-biohazard-specimen-transport-bags-10/0180004" TargetMode="External"/><Relationship Id="rId8" Type="http://schemas.openxmlformats.org/officeDocument/2006/relationships/hyperlink" Target="https://www.stat.gouv.qc.ca/statistiques/travail-remuneration/remuneration-globale/globale-salaires/emplois-reperes/305empl_an.htm" TargetMode="External"/><Relationship Id="rId51" Type="http://schemas.openxmlformats.org/officeDocument/2006/relationships/hyperlink" Target="https://www.canadiantire.ca/en/pdp/frank-disposable-vinyl-nitrile-gloves-50-pk-0428456p.html" TargetMode="External"/><Relationship Id="rId72"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93" Type="http://schemas.openxmlformats.org/officeDocument/2006/relationships/hyperlink" Target="https://www.stat.gouv.qc.ca/statistiques/travail-remuneration/remuneration-globale/globale-salaires/emplois-reperes/305empl_an.htm" TargetMode="External"/><Relationship Id="rId98" Type="http://schemas.openxmlformats.org/officeDocument/2006/relationships/hyperlink" Target="https://neuvoo.ca/salary/?job=Laboratory%20Coordinator" TargetMode="External"/><Relationship Id="rId121" Type="http://schemas.openxmlformats.org/officeDocument/2006/relationships/hyperlink" Target="https://www.stat.gouv.qc.ca/statistiques/travail-remuneration/remuneration-globale/globale-salaires/emplois-reperes/305empl_an.htm" TargetMode="External"/><Relationship Id="rId142" Type="http://schemas.openxmlformats.org/officeDocument/2006/relationships/hyperlink" Target="https://www.stat.gouv.qc.ca/statistiques/travail-remuneration/remuneration-globale/globale-salaires/emplois-reperes/305empl_an.htm" TargetMode="External"/><Relationship Id="rId163" Type="http://schemas.openxmlformats.org/officeDocument/2006/relationships/hyperlink" Target="https://www.canadiantire.ca/en/pdp/frank-disposable-vinyl-nitrile-gloves-50-pk-0428456p.html" TargetMode="External"/><Relationship Id="rId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5"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46" Type="http://schemas.openxmlformats.org/officeDocument/2006/relationships/hyperlink" Target="http://www.fiqsante.qc.ca/wp-content/uploads/2016/10/Echelles_salariales_Web_2016-2020_FR.pdf?download=1" TargetMode="External"/><Relationship Id="rId67" Type="http://schemas.openxmlformats.org/officeDocument/2006/relationships/hyperlink" Target="https://www.homedepot.com/p/3M-Clear-Professional-Face-Shield-90028-80025/202195394" TargetMode="External"/><Relationship Id="rId116" Type="http://schemas.openxmlformats.org/officeDocument/2006/relationships/hyperlink" Target="https://www.homedepot.com/p/3M-Clear-Professional-Face-Shield-90028-80025/202195394" TargetMode="External"/><Relationship Id="rId137" Type="http://schemas.openxmlformats.org/officeDocument/2006/relationships/hyperlink" Target="https://www.fishersci.ca/shop/products/bd-micro-fine-contact-activated-lancet-3/p-3491417" TargetMode="External"/><Relationship Id="rId158" Type="http://schemas.openxmlformats.org/officeDocument/2006/relationships/hyperlink" Target="https://www.roche.com/media/releases/med-cor-2020-04-17.htm" TargetMode="External"/><Relationship Id="rId20" Type="http://schemas.openxmlformats.org/officeDocument/2006/relationships/hyperlink" Target="https://www.stat.gouv.qc.ca/statistiques/travail-remuneration/remuneration-globale/globale-salaires/emplois-reperes/305empl_an.htm" TargetMode="External"/><Relationship Id="rId41" Type="http://schemas.openxmlformats.org/officeDocument/2006/relationships/hyperlink" Target="https://www.canadiantire.ca/en/pdp/frank-disposable-vinyl-nitrile-gloves-50-pk-0428456p.html" TargetMode="External"/><Relationship Id="rId6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83" Type="http://schemas.openxmlformats.org/officeDocument/2006/relationships/hyperlink" Target="https://www.stat.gouv.qc.ca/statistiques/travail-remuneration/remuneration-globale/globale-salaires/emplois-reperes/305empl_an.htm" TargetMode="External"/><Relationship Id="rId88" Type="http://schemas.openxmlformats.org/officeDocument/2006/relationships/hyperlink" Target="https://www.homedepot.com/p/3M-Clear-Professional-Face-Shield-90028-80025/202195394" TargetMode="External"/><Relationship Id="rId111" Type="http://schemas.openxmlformats.org/officeDocument/2006/relationships/hyperlink" Target="https://www.stat.gouv.qc.ca/statistiques/travail-remuneration/remuneration-globale/globale-salaires/emplois-reperes/305empl_an.htm" TargetMode="External"/><Relationship Id="rId132" Type="http://schemas.openxmlformats.org/officeDocument/2006/relationships/hyperlink" Target="https://www.biobasic.com/96-well-plate-viral-dna-miniprep-kit/" TargetMode="External"/><Relationship Id="rId153" Type="http://schemas.openxmlformats.org/officeDocument/2006/relationships/hyperlink" Target="https://www.biobasic.com/96-well-plate-viral-dna-miniprep-kit/" TargetMode="External"/><Relationship Id="rId15" Type="http://schemas.openxmlformats.org/officeDocument/2006/relationships/hyperlink" Target="https://www.canadiansafetysupplies.com/N95-Particulate-Respirator-3M-p/8511.htm" TargetMode="External"/><Relationship Id="rId36" Type="http://schemas.openxmlformats.org/officeDocument/2006/relationships/hyperlink" Target="http://www.fiqsante.qc.ca/wp-content/uploads/2016/10/Echelles_salariales_Web_2016-2020_FR.pdf?download=1" TargetMode="External"/><Relationship Id="rId57" Type="http://schemas.openxmlformats.org/officeDocument/2006/relationships/hyperlink" Target="https://www.fishersci.ca/shop/products/therapak-corporation-coleman-excursion-handle-coolers-4/22131508" TargetMode="External"/><Relationship Id="rId106"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27"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0" Type="http://schemas.openxmlformats.org/officeDocument/2006/relationships/hyperlink" Target="https://neuvoo.ca/salary/?job=Laboratory%20Coordinator" TargetMode="External"/><Relationship Id="rId31" Type="http://schemas.openxmlformats.org/officeDocument/2006/relationships/hyperlink" Target="https://www.biobasic.com/sars-cov-2-covid-19-rt-qpcr-detection-kit/" TargetMode="External"/><Relationship Id="rId52" Type="http://schemas.openxmlformats.org/officeDocument/2006/relationships/hyperlink" Target="https://www.homedepot.com/p/3M-Clear-Professional-Face-Shield-90028-80025/202195394" TargetMode="External"/><Relationship Id="rId73" Type="http://schemas.openxmlformats.org/officeDocument/2006/relationships/hyperlink" Target="https://www.canadiantire.ca/en/pdp/frank-disposable-vinyl-nitrile-gloves-50-pk-0428456p.html" TargetMode="External"/><Relationship Id="rId78"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94" Type="http://schemas.openxmlformats.org/officeDocument/2006/relationships/hyperlink" Target="https://www.stat.gouv.qc.ca/statistiques/travail-remuneration/remuneration-globale/globale-salaires/emplois-reperes/305empl_an.htm" TargetMode="External"/><Relationship Id="rId99"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01" Type="http://schemas.openxmlformats.org/officeDocument/2006/relationships/hyperlink" Target="https://www.canadiantire.ca/en/pdp/frank-disposable-vinyl-nitrile-gloves-50-pk-0428456p.html" TargetMode="External"/><Relationship Id="rId122" Type="http://schemas.openxmlformats.org/officeDocument/2006/relationships/hyperlink" Target="https://www.stat.gouv.qc.ca/statistiques/travail-remuneration/remuneration-globale/globale-salaires/emplois-reperes/305empl_an.htm" TargetMode="External"/><Relationship Id="rId143" Type="http://schemas.openxmlformats.org/officeDocument/2006/relationships/hyperlink" Target="https://www.stat.gouv.qc.ca/statistiques/travail-remuneration/remuneration-globale/globale-salaires/emplois-reperes/305empl_an.htm" TargetMode="External"/><Relationship Id="rId148"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64" Type="http://schemas.openxmlformats.org/officeDocument/2006/relationships/hyperlink" Target="https://www.homedepot.com/p/3M-Clear-Professional-Face-Shield-90028-80025/202195394" TargetMode="External"/><Relationship Id="rId169" Type="http://schemas.openxmlformats.org/officeDocument/2006/relationships/printerSettings" Target="../printerSettings/printerSettings3.bin"/><Relationship Id="rId4"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9" Type="http://schemas.openxmlformats.org/officeDocument/2006/relationships/hyperlink" Target="https://www.stat.gouv.qc.ca/statistiques/travail-remuneration/remuneration-globale/globale-salaires/emplois-reperes/305empl_an.htm" TargetMode="External"/><Relationship Id="rId26" Type="http://schemas.openxmlformats.org/officeDocument/2006/relationships/hyperlink" Target="https://www.canadiantire.ca/en/pdp/frank-disposable-vinyl-nitrile-gloves-50-pk-0428456p.html" TargetMode="External"/><Relationship Id="rId47"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68" Type="http://schemas.openxmlformats.org/officeDocument/2006/relationships/hyperlink" Target="https://www.canadiansafetysupplies.com/N95-Particulate-Respirator-3M-p/8511.htm" TargetMode="External"/><Relationship Id="rId89" Type="http://schemas.openxmlformats.org/officeDocument/2006/relationships/hyperlink" Target="https://www.canadiansafetysupplies.com/N95-Particulate-Respirator-3M-p/8511.htm" TargetMode="External"/><Relationship Id="rId112" Type="http://schemas.openxmlformats.org/officeDocument/2006/relationships/hyperlink" Target="https://neuvoo.ca/salary/?job=Laboratory%20Coordinator" TargetMode="External"/><Relationship Id="rId133" Type="http://schemas.openxmlformats.org/officeDocument/2006/relationships/hyperlink" Target="https://www.biobasic.com/sars-cov-2-covid-19-rt-qpcr-detection-kit/" TargetMode="External"/><Relationship Id="rId154"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6" Type="http://schemas.openxmlformats.org/officeDocument/2006/relationships/hyperlink" Target="https://www.biobasic.com/96-well-plate-viral-dna-miniprep-kit/" TargetMode="External"/><Relationship Id="rId37"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58" Type="http://schemas.openxmlformats.org/officeDocument/2006/relationships/hyperlink" Target="https://www.fishersci.ca/shop/products/fisherbrand-biohazard-specimen-transport-bags-10/0180004" TargetMode="External"/><Relationship Id="rId79" Type="http://schemas.openxmlformats.org/officeDocument/2006/relationships/hyperlink" Target="https://www.stat.gouv.qc.ca/statistiques/travail-remuneration/remuneration-globale/globale-salaires/emplois-reperes/305empl_an.htm" TargetMode="External"/><Relationship Id="rId102" Type="http://schemas.openxmlformats.org/officeDocument/2006/relationships/hyperlink" Target="https://www.homedepot.com/p/3M-Clear-Professional-Face-Shield-90028-80025/202195394" TargetMode="External"/><Relationship Id="rId123" Type="http://schemas.openxmlformats.org/officeDocument/2006/relationships/hyperlink" Target="https://www.stat.gouv.qc.ca/statistiques/travail-remuneration/remuneration-globale/globale-salaires/emplois-reperes/305empl_an.htm" TargetMode="External"/><Relationship Id="rId144" Type="http://schemas.openxmlformats.org/officeDocument/2006/relationships/hyperlink" Target="https://www.stat.gouv.qc.ca/statistiques/travail-remuneration/remuneration-globale/globale-salaires/emplois-reperes/305empl_an.htm" TargetMode="External"/><Relationship Id="rId90" Type="http://schemas.openxmlformats.org/officeDocument/2006/relationships/hyperlink" Target="https://www.biobasic.com/96-well-plate-viral-dna-miniprep-kit/" TargetMode="External"/><Relationship Id="rId165" Type="http://schemas.openxmlformats.org/officeDocument/2006/relationships/hyperlink" Target="https://www.canadiansafetysupplies.com/N95-Particulate-Respirator-3M-p/8511.htm" TargetMode="External"/><Relationship Id="rId27" Type="http://schemas.openxmlformats.org/officeDocument/2006/relationships/hyperlink" Target="https://www.canadiantire.ca/en/pdp/frank-disposable-vinyl-nitrile-gloves-50-pk-0428456p.html" TargetMode="External"/><Relationship Id="rId48"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69" Type="http://schemas.openxmlformats.org/officeDocument/2006/relationships/hyperlink" Target="https://www.grainger.ca/en/product/EAR-LOOP-MASK-BLUE%2CPK-50/p/WWG9E274" TargetMode="External"/><Relationship Id="rId113"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34" Type="http://schemas.openxmlformats.org/officeDocument/2006/relationships/hyperlink" Target="https://www.fishersci.ca/shop/products/bd-micro-fine-contact-activated-lancet-3/p-3491417" TargetMode="External"/><Relationship Id="rId80" Type="http://schemas.openxmlformats.org/officeDocument/2006/relationships/hyperlink" Target="https://www.stat.gouv.qc.ca/statistiques/travail-remuneration/remuneration-globale/globale-salaires/emplois-reperes/305empl_an.htm" TargetMode="External"/><Relationship Id="rId155" Type="http://schemas.openxmlformats.org/officeDocument/2006/relationships/hyperlink" Target="https://www.stat.gouv.qc.ca/statistiques/travail-remuneration/remuneration-globale/globale-salaires/emplois-reperes/305empl_an.htm" TargetMode="External"/><Relationship Id="rId17" Type="http://schemas.openxmlformats.org/officeDocument/2006/relationships/hyperlink" Target="https://www.biobasic.com/sars-cov-2-covid-19-rt-qpcr-detection-kit/" TargetMode="External"/><Relationship Id="rId38"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59" Type="http://schemas.openxmlformats.org/officeDocument/2006/relationships/hyperlink" Target="https://www.fishersci.ca/shop/products/bd-micro-fine-contact-activated-lancet-3/p-3491417" TargetMode="External"/><Relationship Id="rId103" Type="http://schemas.openxmlformats.org/officeDocument/2006/relationships/hyperlink" Target="https://www.canadiansafetysupplies.com/N95-Particulate-Respirator-3M-p/8511.htm" TargetMode="External"/><Relationship Id="rId124" Type="http://schemas.openxmlformats.org/officeDocument/2006/relationships/hyperlink" Target="https://www.stat.gouv.qc.ca/statistiques/travail-remuneration/remuneration-globale/globale-salaires/emplois-reperes/305empl_an.htm" TargetMode="External"/></Relationships>
</file>

<file path=xl/worksheets/_rels/sheet4.xml.rels><?xml version="1.0" encoding="UTF-8" standalone="yes"?>
<Relationships xmlns="http://schemas.openxmlformats.org/package/2006/relationships"><Relationship Id="rId117" Type="http://schemas.openxmlformats.org/officeDocument/2006/relationships/hyperlink" Target="https://www.biobasic.com/96-well-plate-viral-dna-miniprep-kit/" TargetMode="External"/><Relationship Id="rId21" Type="http://schemas.openxmlformats.org/officeDocument/2006/relationships/hyperlink" Target="https://www.stat.gouv.qc.ca/statistiques/travail-remuneration/remuneration-globale/globale-salaires/emplois-reperes/305empl_an.htm" TargetMode="External"/><Relationship Id="rId42" Type="http://schemas.openxmlformats.org/officeDocument/2006/relationships/hyperlink" Target="https://www.ramq.gouv.qc.ca/SiteCollectionDocuments/professionnels/manuels/syra/medecins-specialistes/150-facturation-specialistes/manuel-specialistes-remuneration-acte.html" TargetMode="External"/><Relationship Id="rId63" Type="http://schemas.openxmlformats.org/officeDocument/2006/relationships/hyperlink" Target="https://www.stat.gouv.qc.ca/statistiques/travail-remuneration/remuneration-globale/globale-salaires/emplois-reperes/305empl_an.htm" TargetMode="External"/><Relationship Id="rId84" Type="http://schemas.openxmlformats.org/officeDocument/2006/relationships/hyperlink" Target="https://www.canadiansafetysupplies.com/N95-Particulate-Respirator-3M-p/8511.htm" TargetMode="External"/><Relationship Id="rId138" Type="http://schemas.openxmlformats.org/officeDocument/2006/relationships/hyperlink" Target="https://www.canadiantire.ca/en/pdp/frank-disposable-vinyl-nitrile-gloves-50-pk-0428456p.html" TargetMode="External"/><Relationship Id="rId159" Type="http://schemas.openxmlformats.org/officeDocument/2006/relationships/hyperlink" Target="http://www.fiqsante.qc.ca/wp-content/uploads/2016/10/Echelles_salariales_Web_2016-2020_FR.pdf?download=1" TargetMode="External"/><Relationship Id="rId170" Type="http://schemas.openxmlformats.org/officeDocument/2006/relationships/hyperlink" Target="https://www.fishersci.ca/shop/products/bd-micro-fine-contact-activated-lancet-3/p-3491417" TargetMode="External"/><Relationship Id="rId191" Type="http://schemas.openxmlformats.org/officeDocument/2006/relationships/vmlDrawing" Target="../drawings/vmlDrawing1.vml"/><Relationship Id="rId107" Type="http://schemas.openxmlformats.org/officeDocument/2006/relationships/hyperlink" Target="https://www.stat.gouv.qc.ca/statistiques/travail-remuneration/remuneration-globale/globale-salaires/emplois-reperes/305empl_an.htm" TargetMode="External"/><Relationship Id="rId11" Type="http://schemas.openxmlformats.org/officeDocument/2006/relationships/hyperlink" Target="https://www.stat.gouv.qc.ca/statistiques/travail-remuneration/remuneration-globale/globale-salaires/emplois-reperes/305empl_an.htm" TargetMode="External"/><Relationship Id="rId32" Type="http://schemas.openxmlformats.org/officeDocument/2006/relationships/hyperlink" Target="https://www.biobasic.com/96-well-plate-viral-dna-miniprep-kit/" TargetMode="External"/><Relationship Id="rId53" Type="http://schemas.openxmlformats.org/officeDocument/2006/relationships/hyperlink" Target="https://www.canadiantire.ca/en/pdp/frank-disposable-vinyl-nitrile-gloves-50-pk-0428456p.html" TargetMode="External"/><Relationship Id="rId74" Type="http://schemas.openxmlformats.org/officeDocument/2006/relationships/hyperlink" Target="https://www.stat.gouv.qc.ca/statistiques/travail-remuneration/remuneration-globale/globale-salaires/emplois-reperes/305empl_an.htm" TargetMode="External"/><Relationship Id="rId128" Type="http://schemas.openxmlformats.org/officeDocument/2006/relationships/hyperlink" Target="https://www.canadiantire.ca/en/pdp/frank-disposable-vinyl-nitrile-gloves-50-pk-0428456p.html" TargetMode="External"/><Relationship Id="rId149" Type="http://schemas.openxmlformats.org/officeDocument/2006/relationships/hyperlink" Target="https://www.uline.ca/Product/Detail/H-1240/Dymo-Label-Printers-and-Labels/Dymo-Labelwriter-450-Printer?pricode=YD413&amp;gadtype=pla&amp;id=H-1240&amp;gclid=CjwKCAjwssD0BRBIEiwA-JP5rPSh55hNV9NcV_w6RdfAhPS6XUlbx18Tidw-r7Cbir42pcA5ShGZDxoCDxAQAvD_BwE&amp;gclsrc=aw.ds" TargetMode="External"/><Relationship Id="rId5" Type="http://schemas.openxmlformats.org/officeDocument/2006/relationships/hyperlink" Target="https://www.fishersci.ca/shop/products/fisherbrand-biohazard-specimen-transport-bags-10/0180004" TargetMode="External"/><Relationship Id="rId95" Type="http://schemas.openxmlformats.org/officeDocument/2006/relationships/hyperlink" Target="https://www.canadiantire.ca/en/pdp/frank-disposable-vinyl-nitrile-gloves-50-pk-0428456p.html" TargetMode="External"/><Relationship Id="rId160" Type="http://schemas.openxmlformats.org/officeDocument/2006/relationships/hyperlink" Target="https://www.stat.gouv.qc.ca/statistiques/travail-remuneration/remuneration-globale/globale-salaires/emplois-reperes/305empl_an.htm" TargetMode="External"/><Relationship Id="rId181" Type="http://schemas.openxmlformats.org/officeDocument/2006/relationships/hyperlink" Target="https://www.canadiantire.ca/en/pdp/frank-disposable-vinyl-nitrile-gloves-50-pk-0428456p.html" TargetMode="External"/><Relationship Id="rId22" Type="http://schemas.openxmlformats.org/officeDocument/2006/relationships/hyperlink" Target="https://www.stat.gouv.qc.ca/statistiques/travail-remuneration/remuneration-globale/globale-salaires/emplois-reperes/305empl_an.htm" TargetMode="External"/><Relationship Id="rId43" Type="http://schemas.openxmlformats.org/officeDocument/2006/relationships/hyperlink" Target="http://www.fiqsante.qc.ca/wp-content/uploads/2016/10/Echelles_salariales_Web_2016-2020_FR.pdf?download=1" TargetMode="External"/><Relationship Id="rId64" Type="http://schemas.openxmlformats.org/officeDocument/2006/relationships/hyperlink" Target="https://www.stat.gouv.qc.ca/statistiques/travail-remuneration/remuneration-globale/globale-salaires/emplois-reperes/305empl_an.htm" TargetMode="External"/><Relationship Id="rId118" Type="http://schemas.openxmlformats.org/officeDocument/2006/relationships/hyperlink" Target="https://www.canadiantire.ca/en/pdp/frank-disposable-vinyl-nitrile-gloves-50-pk-0428456p.html" TargetMode="External"/><Relationship Id="rId139" Type="http://schemas.openxmlformats.org/officeDocument/2006/relationships/hyperlink" Target="https://www.canadiantire.ca/en/pdp/frank-disposable-vinyl-nitrile-gloves-50-pk-0428456p.html" TargetMode="External"/><Relationship Id="rId85" Type="http://schemas.openxmlformats.org/officeDocument/2006/relationships/hyperlink" Target="https://www.biobasic.com/96-well-plate-viral-dna-miniprep-kit/" TargetMode="External"/><Relationship Id="rId150"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71" Type="http://schemas.openxmlformats.org/officeDocument/2006/relationships/hyperlink" Target="https://www.fishersci.ca/shop/products/bd-micro-fine-contact-activated-lancet-3/p-3491417" TargetMode="External"/><Relationship Id="rId192" Type="http://schemas.openxmlformats.org/officeDocument/2006/relationships/comments" Target="../comments1.xml"/><Relationship Id="rId12" Type="http://schemas.openxmlformats.org/officeDocument/2006/relationships/hyperlink" Target="https://neuvoo.ca/salary/?job=Laboratory%20Coordinator" TargetMode="External"/><Relationship Id="rId33" Type="http://schemas.openxmlformats.org/officeDocument/2006/relationships/hyperlink" Target="https://www.biobasic.com/sars-cov-2-covid-19-rt-qpcr-detection-kit/" TargetMode="External"/><Relationship Id="rId108" Type="http://schemas.openxmlformats.org/officeDocument/2006/relationships/hyperlink" Target="https://www.thermofisher.com/us/en/home/references/protocols/cell-and-tissue-analysis/elisa-protocol/general-elisa-protocol.html" TargetMode="External"/><Relationship Id="rId129" Type="http://schemas.openxmlformats.org/officeDocument/2006/relationships/hyperlink" Target="https://www.canadiantire.ca/en/pdp/frank-disposable-vinyl-nitrile-gloves-50-pk-0428456p.html" TargetMode="External"/><Relationship Id="rId54" Type="http://schemas.openxmlformats.org/officeDocument/2006/relationships/hyperlink" Target="https://www.canadiantire.ca/en/pdp/frank-disposable-vinyl-nitrile-gloves-50-pk-0428456p.html" TargetMode="External"/><Relationship Id="rId75" Type="http://schemas.openxmlformats.org/officeDocument/2006/relationships/hyperlink" Target="https://www.stat.gouv.qc.ca/statistiques/travail-remuneration/remuneration-globale/globale-salaires/emplois-reperes/305empl_an.htm" TargetMode="External"/><Relationship Id="rId96" Type="http://schemas.openxmlformats.org/officeDocument/2006/relationships/hyperlink" Target="https://www.canadiantire.ca/en/pdp/frank-disposable-vinyl-nitrile-gloves-50-pk-0428456p.html" TargetMode="External"/><Relationship Id="rId140" Type="http://schemas.openxmlformats.org/officeDocument/2006/relationships/hyperlink" Target="https://www.homedepot.com/p/3M-Clear-Professional-Face-Shield-90028-80025/202195394" TargetMode="External"/><Relationship Id="rId161" Type="http://schemas.openxmlformats.org/officeDocument/2006/relationships/hyperlink" Target="https://www.canadiantire.ca/en/pdp/frank-disposable-vinyl-nitrile-gloves-50-pk-0428456p.html" TargetMode="External"/><Relationship Id="rId182" Type="http://schemas.openxmlformats.org/officeDocument/2006/relationships/hyperlink" Target="https://www.homedepot.com/p/3M-Clear-Professional-Face-Shield-90028-80025/202195394" TargetMode="External"/><Relationship Id="rId6"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3" Type="http://schemas.openxmlformats.org/officeDocument/2006/relationships/hyperlink" Target="https://www.stat.gouv.qc.ca/statistiques/travail-remuneration/remuneration-globale/globale-salaires/emplois-reperes/305empl_an.htm" TargetMode="External"/><Relationship Id="rId119" Type="http://schemas.openxmlformats.org/officeDocument/2006/relationships/hyperlink" Target="https://www.canadiantire.ca/en/pdp/frank-disposable-vinyl-nitrile-gloves-50-pk-0428456p.html" TargetMode="External"/><Relationship Id="rId44" Type="http://schemas.openxmlformats.org/officeDocument/2006/relationships/hyperlink" Target="http://www.fiqsante.qc.ca/wp-content/uploads/2016/10/Echelles_salariales_Web_2016-2020_FR.pdf?download=1" TargetMode="External"/><Relationship Id="rId65" Type="http://schemas.openxmlformats.org/officeDocument/2006/relationships/hyperlink" Target="https://neuvoo.ca/salary/?job=Laboratory%20Coordinator" TargetMode="External"/><Relationship Id="rId86" Type="http://schemas.openxmlformats.org/officeDocument/2006/relationships/hyperlink" Target="https://www.biobasic.com/sars-cov-2-covid-19-rt-qpcr-detection-kit/" TargetMode="External"/><Relationship Id="rId130" Type="http://schemas.openxmlformats.org/officeDocument/2006/relationships/hyperlink" Target="https://www.homedepot.com/p/3M-Clear-Professional-Face-Shield-90028-80025/202195394" TargetMode="External"/><Relationship Id="rId151" Type="http://schemas.openxmlformats.org/officeDocument/2006/relationships/hyperlink" Target="http://www.fiqsante.qc.ca/wp-content/uploads/2016/10/Echelles_salariales_Web_2016-2020_FR.pdf?download=1" TargetMode="External"/><Relationship Id="rId172" Type="http://schemas.openxmlformats.org/officeDocument/2006/relationships/hyperlink" Target="https://www.fishersci.ca/shop/products/bd-micro-fine-contact-activated-lancet-3/p-3491417" TargetMode="External"/><Relationship Id="rId193" Type="http://schemas.microsoft.com/office/2017/10/relationships/threadedComment" Target="../threadedComments/threadedComment1.xml"/><Relationship Id="rId13"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09" Type="http://schemas.openxmlformats.org/officeDocument/2006/relationships/hyperlink" Target="https://www.roche.com/media/releases/med-cor-2020-04-17.htm" TargetMode="External"/><Relationship Id="rId34"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50" Type="http://schemas.openxmlformats.org/officeDocument/2006/relationships/hyperlink" Target="https://www.stat.gouv.qc.ca/statistiques/travail-remuneration/remuneration-globale/globale-salaires/emplois-reperes/305empl_an.htm" TargetMode="External"/><Relationship Id="rId55" Type="http://schemas.openxmlformats.org/officeDocument/2006/relationships/hyperlink" Target="https://www.homedepot.com/p/3M-Clear-Professional-Face-Shield-90028-80025/202195394" TargetMode="External"/><Relationship Id="rId76" Type="http://schemas.openxmlformats.org/officeDocument/2006/relationships/hyperlink" Target="https://www.stat.gouv.qc.ca/statistiques/travail-remuneration/remuneration-globale/globale-salaires/emplois-reperes/305empl_an.htm" TargetMode="External"/><Relationship Id="rId97" Type="http://schemas.openxmlformats.org/officeDocument/2006/relationships/hyperlink" Target="https://www.homedepot.com/p/3M-Clear-Professional-Face-Shield-90028-80025/202195394" TargetMode="External"/><Relationship Id="rId104" Type="http://schemas.openxmlformats.org/officeDocument/2006/relationships/hyperlink" Target="https://www.fishersci.ca/shop/products/fisherbrand-biohazard-specimen-transport-bags-10/0180004" TargetMode="External"/><Relationship Id="rId120" Type="http://schemas.openxmlformats.org/officeDocument/2006/relationships/hyperlink" Target="https://www.homedepot.com/p/3M-Clear-Professional-Face-Shield-90028-80025/202195394" TargetMode="External"/><Relationship Id="rId125"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141" Type="http://schemas.openxmlformats.org/officeDocument/2006/relationships/hyperlink" Target="https://www.canadiansafetysupplies.com/N95-Particulate-Respirator-3M-p/8511.htm" TargetMode="External"/><Relationship Id="rId146" Type="http://schemas.openxmlformats.org/officeDocument/2006/relationships/hyperlink" Target="https://www.homedepot.com/p/3M-Clear-Professional-Face-Shield-90028-80025/202195394" TargetMode="External"/><Relationship Id="rId167" Type="http://schemas.openxmlformats.org/officeDocument/2006/relationships/hyperlink" Target="https://www.fishersci.ca/shop/products/bd-micro-fine-contact-activated-lancet-3/p-3491417" TargetMode="External"/><Relationship Id="rId188" Type="http://schemas.openxmlformats.org/officeDocument/2006/relationships/hyperlink" Target="https://www.canadiansafetysupplies.com/N95-Particulate-Respirator-3M-p/8511.htm" TargetMode="External"/><Relationship Id="rId7" Type="http://schemas.openxmlformats.org/officeDocument/2006/relationships/hyperlink" Target="https://www.stat.gouv.qc.ca/statistiques/travail-remuneration/remuneration-globale/globale-salaires/emplois-reperes/305empl_an.htm" TargetMode="External"/><Relationship Id="rId71" Type="http://schemas.openxmlformats.org/officeDocument/2006/relationships/hyperlink" Target="https://www.biobasic.com/96-well-plate-viral-dna-miniprep-kit/" TargetMode="External"/><Relationship Id="rId92" Type="http://schemas.openxmlformats.org/officeDocument/2006/relationships/hyperlink" Target="https://www.stat.gouv.qc.ca/statistiques/travail-remuneration/remuneration-globale/globale-salaires/emplois-reperes/305empl_an.htm" TargetMode="External"/><Relationship Id="rId162" Type="http://schemas.openxmlformats.org/officeDocument/2006/relationships/hyperlink" Target="https://www.canadiantire.ca/en/pdp/frank-disposable-vinyl-nitrile-gloves-50-pk-0428456p.html" TargetMode="External"/><Relationship Id="rId183" Type="http://schemas.openxmlformats.org/officeDocument/2006/relationships/hyperlink" Target="https://www.canadiansafetysupplies.com/N95-Particulate-Respirator-3M-p/8511.htm" TargetMode="External"/><Relationship Id="rId2" Type="http://schemas.openxmlformats.org/officeDocument/2006/relationships/hyperlink" Target="http://imt.emploiquebec.gouv.qc.ca/mtg/inter/noncache/contenu/asp/mtg122_sommprofs_01.asp?aprof=3414&amp;PT4=53&amp;lang=ANGL&amp;Porte=1&amp;cregncmp1=QC&amp;ssai=0&amp;motpro=transport+attendant&amp;pro=3414&amp;PT2=21&amp;cregn=QC&amp;PT1=25&amp;type=01&amp;PT3=10" TargetMode="External"/><Relationship Id="rId29" Type="http://schemas.openxmlformats.org/officeDocument/2006/relationships/hyperlink" Target="https://www.canadiantire.ca/en/pdp/frank-disposable-vinyl-nitrile-gloves-50-pk-0428456p.html" TargetMode="External"/><Relationship Id="rId24" Type="http://schemas.openxmlformats.org/officeDocument/2006/relationships/hyperlink" Target="https://www.stat.gouv.qc.ca/statistiques/travail-remuneration/remuneration-globale/globale-salaires/emplois-reperes/305empl_an.htm" TargetMode="External"/><Relationship Id="rId40" Type="http://schemas.openxmlformats.org/officeDocument/2006/relationships/hyperlink" Target="https://www.fishersci.ca/shop/products/fisherbrand-biohazard-specimen-transport-bags-10/0180004" TargetMode="External"/><Relationship Id="rId4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66"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87"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10" Type="http://schemas.openxmlformats.org/officeDocument/2006/relationships/hyperlink" Target="https://www.stat.gouv.qc.ca/statistiques/travail-remuneration/remuneration-globale/globale-salaires/emplois-reperes/305empl_an.htm" TargetMode="External"/><Relationship Id="rId115" Type="http://schemas.openxmlformats.org/officeDocument/2006/relationships/hyperlink" Target="https://www.homedepot.com/p/3M-Clear-Professional-Face-Shield-90028-80025/202195394" TargetMode="External"/><Relationship Id="rId131" Type="http://schemas.openxmlformats.org/officeDocument/2006/relationships/hyperlink" Target="https://www.canadiansafetysupplies.com/N95-Particulate-Respirator-3M-p/8511.htm" TargetMode="External"/><Relationship Id="rId136"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57" Type="http://schemas.openxmlformats.org/officeDocument/2006/relationships/hyperlink" Target="https://www.grainger.ca/en/product/EAR-LOOP-MASK-BLUE%2CPK-50/p/WWG9E274" TargetMode="External"/><Relationship Id="rId178" Type="http://schemas.openxmlformats.org/officeDocument/2006/relationships/hyperlink" Target="http://www.fiqsante.qc.ca/wp-content/uploads/2016/10/Echelles_salariales_Web_2016-2020_FR.pdf?download=1" TargetMode="External"/><Relationship Id="rId61" Type="http://schemas.openxmlformats.org/officeDocument/2006/relationships/hyperlink" Target="https://www.stat.gouv.qc.ca/statistiques/travail-remuneration/remuneration-globale/globale-salaires/emplois-reperes/305empl_an.htm" TargetMode="External"/><Relationship Id="rId82" Type="http://schemas.openxmlformats.org/officeDocument/2006/relationships/hyperlink" Target="https://www.canadiantire.ca/en/pdp/frank-disposable-vinyl-nitrile-gloves-50-pk-0428456p.html" TargetMode="External"/><Relationship Id="rId152" Type="http://schemas.openxmlformats.org/officeDocument/2006/relationships/hyperlink" Target="https://www.stat.gouv.qc.ca/statistiques/travail-remuneration/remuneration-globale/globale-salaires/emplois-reperes/305empl_an.htm" TargetMode="External"/><Relationship Id="rId173" Type="http://schemas.openxmlformats.org/officeDocument/2006/relationships/hyperlink" Target="https://www.fishersci.ca/shop/products/bd-micro-fine-contact-activated-lancet-3/p-3491417" TargetMode="External"/><Relationship Id="rId19" Type="http://schemas.openxmlformats.org/officeDocument/2006/relationships/hyperlink" Target="https://www.biobasic.com/sars-cov-2-covid-19-rt-qpcr-detection-kit/" TargetMode="External"/><Relationship Id="rId14" Type="http://schemas.openxmlformats.org/officeDocument/2006/relationships/hyperlink" Target="https://www.canadiantire.ca/en/pdp/frank-disposable-vinyl-nitrile-gloves-50-pk-0428456p.html" TargetMode="External"/><Relationship Id="rId30" Type="http://schemas.openxmlformats.org/officeDocument/2006/relationships/hyperlink" Target="https://www.homedepot.com/p/3M-Clear-Professional-Face-Shield-90028-80025/202195394" TargetMode="External"/><Relationship Id="rId35" Type="http://schemas.openxmlformats.org/officeDocument/2006/relationships/hyperlink" Target="http://www.fiqsante.qc.ca/wp-content/uploads/2016/10/Echelles_salariales_Web_2016-2020_FR.pdf?download=1" TargetMode="External"/><Relationship Id="rId56" Type="http://schemas.openxmlformats.org/officeDocument/2006/relationships/hyperlink" Target="https://www.canadiansafetysupplies.com/N95-Particulate-Respirator-3M-p/8511.htm" TargetMode="External"/><Relationship Id="rId77" Type="http://schemas.openxmlformats.org/officeDocument/2006/relationships/hyperlink" Target="https://www.stat.gouv.qc.ca/statistiques/travail-remuneration/remuneration-globale/globale-salaires/emplois-reperes/305empl_an.htm" TargetMode="External"/><Relationship Id="rId100" Type="http://schemas.openxmlformats.org/officeDocument/2006/relationships/hyperlink" Target="https://www.biobasic.com/sars-cov-2-covid-19-rt-qpcr-detection-kit/" TargetMode="External"/><Relationship Id="rId10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26"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47" Type="http://schemas.openxmlformats.org/officeDocument/2006/relationships/hyperlink" Target="https://www.canadiansafetysupplies.com/N95-Particulate-Respirator-3M-p/8511.htm" TargetMode="External"/><Relationship Id="rId168" Type="http://schemas.openxmlformats.org/officeDocument/2006/relationships/hyperlink" Target="https://www.fishersci.ca/shop/products/bd-micro-fine-contact-activated-lancet-3/p-3491417" TargetMode="External"/><Relationship Id="rId8" Type="http://schemas.openxmlformats.org/officeDocument/2006/relationships/hyperlink" Target="https://www.stat.gouv.qc.ca/statistiques/travail-remuneration/remuneration-globale/globale-salaires/emplois-reperes/305empl_an.htm" TargetMode="External"/><Relationship Id="rId51" Type="http://schemas.openxmlformats.org/officeDocument/2006/relationships/hyperlink" Target="https://neuvoo.ca/salary/?job=Laboratory%20Coordinator" TargetMode="External"/><Relationship Id="rId72" Type="http://schemas.openxmlformats.org/officeDocument/2006/relationships/hyperlink" Target="https://www.biobasic.com/sars-cov-2-covid-19-rt-qpcr-detection-kit/" TargetMode="External"/><Relationship Id="rId93" Type="http://schemas.openxmlformats.org/officeDocument/2006/relationships/hyperlink" Target="https://neuvoo.ca/salary/?job=Laboratory%20Coordinator" TargetMode="External"/><Relationship Id="rId98" Type="http://schemas.openxmlformats.org/officeDocument/2006/relationships/hyperlink" Target="https://www.canadiansafetysupplies.com/N95-Particulate-Respirator-3M-p/8511.htm" TargetMode="External"/><Relationship Id="rId121" Type="http://schemas.openxmlformats.org/officeDocument/2006/relationships/hyperlink" Target="https://www.canadiansafetysupplies.com/N95-Particulate-Respirator-3M-p/8511.htm" TargetMode="External"/><Relationship Id="rId142" Type="http://schemas.openxmlformats.org/officeDocument/2006/relationships/hyperlink" Target="https://www.grainger.ca/en/product/EAR-LOOP-MASK-BLUE%2CPK-50/p/WWG9E274" TargetMode="External"/><Relationship Id="rId163" Type="http://schemas.openxmlformats.org/officeDocument/2006/relationships/hyperlink" Target="https://www.homedepot.com/p/3M-Clear-Professional-Face-Shield-90028-80025/202195394" TargetMode="External"/><Relationship Id="rId184" Type="http://schemas.openxmlformats.org/officeDocument/2006/relationships/hyperlink" Target="https://www.grainger.ca/en/product/EAR-LOOP-MASK-BLUE%2CPK-50/p/WWG9E274" TargetMode="External"/><Relationship Id="rId189" Type="http://schemas.openxmlformats.org/officeDocument/2006/relationships/hyperlink" Target="https://www.grainger.ca/en/product/EAR-LOOP-MASK-BLUE%2CPK-50/p/WWG9E274" TargetMode="External"/><Relationship Id="rId3" Type="http://schemas.openxmlformats.org/officeDocument/2006/relationships/hyperlink" Target="https://www.caaquebec.com/en/on-the-road/public-interest/gasoline-matters/gasoline-watch/" TargetMode="External"/><Relationship Id="rId25" Type="http://schemas.openxmlformats.org/officeDocument/2006/relationships/hyperlink" Target="https://www.stat.gouv.qc.ca/statistiques/travail-remuneration/remuneration-globale/globale-salaires/emplois-reperes/305empl_an.htm" TargetMode="External"/><Relationship Id="rId46" Type="http://schemas.openxmlformats.org/officeDocument/2006/relationships/hyperlink" Target="https://www.stat.gouv.qc.ca/statistiques/travail-remuneration/remuneration-globale/globale-salaires/emplois-reperes/305empl_an.htm" TargetMode="External"/><Relationship Id="rId67" Type="http://schemas.openxmlformats.org/officeDocument/2006/relationships/hyperlink" Target="https://www.canadiantire.ca/en/pdp/frank-disposable-vinyl-nitrile-gloves-50-pk-0428456p.html" TargetMode="External"/><Relationship Id="rId116" Type="http://schemas.openxmlformats.org/officeDocument/2006/relationships/hyperlink" Target="https://www.canadiansafetysupplies.com/N95-Particulate-Respirator-3M-p/8511.htm" TargetMode="External"/><Relationship Id="rId137" Type="http://schemas.openxmlformats.org/officeDocument/2006/relationships/hyperlink" Target="https://www.stat.gouv.qc.ca/statistiques/travail-remuneration/remuneration-globale/globale-salaires/emplois-reperes/305empl_an.htm" TargetMode="External"/><Relationship Id="rId158"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0"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41" Type="http://schemas.openxmlformats.org/officeDocument/2006/relationships/hyperlink" Target="http://imt.emploiquebec.gouv.qc.ca/mtg/inter/noncache/contenu/asp/mtg122_sommprofs_01.asp?aprof=1223&amp;PT4=53&amp;motpro=Human+resources&amp;lang=ANGL&amp;Porte=1&amp;cregncmp1=QC&amp;ssai=0&amp;pro=1223&amp;PT2=21&amp;cregn=QC&amp;PT1=25&amp;type=01&amp;PT3=10" TargetMode="External"/><Relationship Id="rId62" Type="http://schemas.openxmlformats.org/officeDocument/2006/relationships/hyperlink" Target="https://www.stat.gouv.qc.ca/statistiques/travail-remuneration/remuneration-globale/globale-salaires/emplois-reperes/305empl_an.htm" TargetMode="External"/><Relationship Id="rId83" Type="http://schemas.openxmlformats.org/officeDocument/2006/relationships/hyperlink" Target="https://www.homedepot.com/p/3M-Clear-Professional-Face-Shield-90028-80025/202195394" TargetMode="External"/><Relationship Id="rId88" Type="http://schemas.openxmlformats.org/officeDocument/2006/relationships/hyperlink" Target="https://www.stat.gouv.qc.ca/statistiques/travail-remuneration/remuneration-globale/globale-salaires/emplois-reperes/305empl_an.htm" TargetMode="External"/><Relationship Id="rId111" Type="http://schemas.openxmlformats.org/officeDocument/2006/relationships/hyperlink" Target="https://neuvoo.ca/salary/?job=Laboratory%20Coordinator" TargetMode="External"/><Relationship Id="rId132" Type="http://schemas.openxmlformats.org/officeDocument/2006/relationships/hyperlink" Target="https://www.grainger.ca/en/product/EAR-LOOP-MASK-BLUE%2CPK-50/p/WWG9E274" TargetMode="External"/><Relationship Id="rId153" Type="http://schemas.openxmlformats.org/officeDocument/2006/relationships/hyperlink" Target="https://www.canadiantire.ca/en/pdp/frank-disposable-vinyl-nitrile-gloves-50-pk-0428456p.html" TargetMode="External"/><Relationship Id="rId174"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79"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90" Type="http://schemas.openxmlformats.org/officeDocument/2006/relationships/hyperlink" Target="https://www.fishersci.ca/shop/products/sarstedt-salivette-cotton-swab-saliva-collection/50809199" TargetMode="External"/><Relationship Id="rId15" Type="http://schemas.openxmlformats.org/officeDocument/2006/relationships/hyperlink" Target="https://www.canadiantire.ca/en/pdp/frank-disposable-vinyl-nitrile-gloves-50-pk-0428456p.html" TargetMode="External"/><Relationship Id="rId36" Type="http://schemas.openxmlformats.org/officeDocument/2006/relationships/hyperlink" Target="http://www.fiqsante.qc.ca/wp-content/uploads/2016/10/Echelles_salariales_Web_2016-2020_FR.pdf?download=1" TargetMode="External"/><Relationship Id="rId57" Type="http://schemas.openxmlformats.org/officeDocument/2006/relationships/hyperlink" Target="https://www.biobasic.com/96-well-plate-viral-dna-miniprep-kit/" TargetMode="External"/><Relationship Id="rId106" Type="http://schemas.openxmlformats.org/officeDocument/2006/relationships/hyperlink" Target="https://www.stat.gouv.qc.ca/statistiques/travail-remuneration/remuneration-globale/globale-salaires/emplois-reperes/305empl_an.htm" TargetMode="External"/><Relationship Id="rId127" Type="http://schemas.openxmlformats.org/officeDocument/2006/relationships/hyperlink" Target="https://www.stat.gouv.qc.ca/statistiques/travail-remuneration/remuneration-globale/globale-salaires/emplois-reperes/305empl_an.htm" TargetMode="External"/><Relationship Id="rId10" Type="http://schemas.openxmlformats.org/officeDocument/2006/relationships/hyperlink" Target="https://www.stat.gouv.qc.ca/statistiques/travail-remuneration/remuneration-globale/globale-salaires/emplois-reperes/305empl_an.htm" TargetMode="External"/><Relationship Id="rId31" Type="http://schemas.openxmlformats.org/officeDocument/2006/relationships/hyperlink" Target="https://www.canadiansafetysupplies.com/N95-Particulate-Respirator-3M-p/8511.htm" TargetMode="External"/><Relationship Id="rId52"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7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78" Type="http://schemas.openxmlformats.org/officeDocument/2006/relationships/hyperlink" Target="https://www.stat.gouv.qc.ca/statistiques/travail-remuneration/remuneration-globale/globale-salaires/emplois-reperes/305empl_an.htm" TargetMode="External"/><Relationship Id="rId94"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99" Type="http://schemas.openxmlformats.org/officeDocument/2006/relationships/hyperlink" Target="https://www.biobasic.com/96-well-plate-viral-dna-miniprep-kit/" TargetMode="External"/><Relationship Id="rId101" Type="http://schemas.openxmlformats.org/officeDocument/2006/relationships/hyperlink" Target="https://www.fishersci.ca/shop/products/therapak-corporation-coleman-excursion-handle-coolers-4/22131508" TargetMode="External"/><Relationship Id="rId122" Type="http://schemas.openxmlformats.org/officeDocument/2006/relationships/hyperlink" Target="https://www.grainger.ca/en/product/EAR-LOOP-MASK-BLUE%2CPK-50/p/WWG9E274" TargetMode="External"/><Relationship Id="rId143" Type="http://schemas.openxmlformats.org/officeDocument/2006/relationships/hyperlink" Target="https://www.uline.ca/Product/Detail/H-1240/Dymo-Label-Printers-and-Labels/Dymo-Labelwriter-450-Printer?pricode=YD413&amp;gadtype=pla&amp;id=H-1240&amp;gclid=CjwKCAjwssD0BRBIEiwA-JP5rPSh55hNV9NcV_w6RdfAhPS6XUlbx18Tidw-r7Cbir42pcA5ShGZDxoCDxAQAvD_BwE&amp;gclsrc=aw.ds" TargetMode="External"/><Relationship Id="rId148" Type="http://schemas.openxmlformats.org/officeDocument/2006/relationships/hyperlink" Target="https://www.grainger.ca/en/product/EAR-LOOP-MASK-BLUE%2CPK-50/p/WWG9E274" TargetMode="External"/><Relationship Id="rId164" Type="http://schemas.openxmlformats.org/officeDocument/2006/relationships/hyperlink" Target="https://www.canadiansafetysupplies.com/N95-Particulate-Respirator-3M-p/8511.htm" TargetMode="External"/><Relationship Id="rId169" Type="http://schemas.openxmlformats.org/officeDocument/2006/relationships/hyperlink" Target="https://www.fishersci.ca/shop/products/bd-micro-fine-contact-activated-lancet-3/p-3491417" TargetMode="External"/><Relationship Id="rId185" Type="http://schemas.openxmlformats.org/officeDocument/2006/relationships/hyperlink" Target="https://www.canadiantire.ca/en/pdp/frank-disposable-vinyl-nitrile-gloves-50-pk-0428456p.html" TargetMode="External"/><Relationship Id="rId4" Type="http://schemas.openxmlformats.org/officeDocument/2006/relationships/hyperlink" Target="https://www.fishersci.ca/shop/products/therapak-corporation-coleman-excursion-handle-coolers-4/22131508" TargetMode="External"/><Relationship Id="rId9" Type="http://schemas.openxmlformats.org/officeDocument/2006/relationships/hyperlink" Target="https://www.stat.gouv.qc.ca/statistiques/travail-remuneration/remuneration-globale/globale-salaires/emplois-reperes/305empl_an.htm" TargetMode="External"/><Relationship Id="rId180" Type="http://schemas.openxmlformats.org/officeDocument/2006/relationships/hyperlink" Target="https://www.canadiantire.ca/en/pdp/frank-disposable-vinyl-nitrile-gloves-50-pk-0428456p.html" TargetMode="External"/><Relationship Id="rId26" Type="http://schemas.openxmlformats.org/officeDocument/2006/relationships/hyperlink" Target="https://neuvoo.ca/salary/?job=Laboratory%20Coordinator" TargetMode="External"/><Relationship Id="rId47" Type="http://schemas.openxmlformats.org/officeDocument/2006/relationships/hyperlink" Target="https://www.stat.gouv.qc.ca/statistiques/travail-remuneration/remuneration-globale/globale-salaires/emplois-reperes/305empl_an.htm" TargetMode="External"/><Relationship Id="rId68" Type="http://schemas.openxmlformats.org/officeDocument/2006/relationships/hyperlink" Target="https://www.canadiantire.ca/en/pdp/frank-disposable-vinyl-nitrile-gloves-50-pk-0428456p.html" TargetMode="External"/><Relationship Id="rId89" Type="http://schemas.openxmlformats.org/officeDocument/2006/relationships/hyperlink" Target="https://www.stat.gouv.qc.ca/statistiques/travail-remuneration/remuneration-globale/globale-salaires/emplois-reperes/305empl_an.htm" TargetMode="External"/><Relationship Id="rId112"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3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54" Type="http://schemas.openxmlformats.org/officeDocument/2006/relationships/hyperlink" Target="https://www.canadiantire.ca/en/pdp/frank-disposable-vinyl-nitrile-gloves-50-pk-0428456p.html" TargetMode="External"/><Relationship Id="rId175" Type="http://schemas.openxmlformats.org/officeDocument/2006/relationships/hyperlink" Target="http://www.fiqsante.qc.ca/wp-content/uploads/2016/10/Echelles_salariales_Web_2016-2020_FR.pdf?download=1" TargetMode="External"/><Relationship Id="rId16" Type="http://schemas.openxmlformats.org/officeDocument/2006/relationships/hyperlink" Target="https://www.homedepot.com/p/3M-Clear-Professional-Face-Shield-90028-80025/202195394" TargetMode="External"/><Relationship Id="rId37" Type="http://schemas.openxmlformats.org/officeDocument/2006/relationships/hyperlink" Target="http://imt.emploiquebec.gouv.qc.ca/mtg/inter/noncache/contenu/asp/mtg122_sommprofs_01.asp?aprof=3414&amp;PT4=53&amp;lang=ANGL&amp;Porte=1&amp;cregncmp1=QC&amp;ssai=0&amp;motpro=transport+attendant&amp;pro=3414&amp;PT2=21&amp;cregn=QC&amp;PT1=25&amp;type=01&amp;PT3=10" TargetMode="External"/><Relationship Id="rId58" Type="http://schemas.openxmlformats.org/officeDocument/2006/relationships/hyperlink" Target="https://www.biobasic.com/sars-cov-2-covid-19-rt-qpcr-detection-kit/" TargetMode="External"/><Relationship Id="rId79" Type="http://schemas.openxmlformats.org/officeDocument/2006/relationships/hyperlink" Target="https://neuvoo.ca/salary/?job=Laboratory%20Coordinator" TargetMode="External"/><Relationship Id="rId102" Type="http://schemas.openxmlformats.org/officeDocument/2006/relationships/hyperlink" Target="https://www.fishersci.ca/shop/products/fisherbrand-biohazard-specimen-transport-bags-10/0180004" TargetMode="External"/><Relationship Id="rId12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44" Type="http://schemas.openxmlformats.org/officeDocument/2006/relationships/hyperlink" Target="https://www.canadiantire.ca/en/pdp/frank-disposable-vinyl-nitrile-gloves-50-pk-0428456p.html" TargetMode="External"/><Relationship Id="rId90" Type="http://schemas.openxmlformats.org/officeDocument/2006/relationships/hyperlink" Target="https://www.stat.gouv.qc.ca/statistiques/travail-remuneration/remuneration-globale/globale-salaires/emplois-reperes/305empl_an.htm" TargetMode="External"/><Relationship Id="rId165" Type="http://schemas.openxmlformats.org/officeDocument/2006/relationships/hyperlink" Target="https://www.grainger.ca/en/product/EAR-LOOP-MASK-BLUE%2CPK-50/p/WWG9E274" TargetMode="External"/><Relationship Id="rId186" Type="http://schemas.openxmlformats.org/officeDocument/2006/relationships/hyperlink" Target="https://www.canadiantire.ca/en/pdp/frank-disposable-vinyl-nitrile-gloves-50-pk-0428456p.html" TargetMode="External"/><Relationship Id="rId27"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48" Type="http://schemas.openxmlformats.org/officeDocument/2006/relationships/hyperlink" Target="https://www.stat.gouv.qc.ca/statistiques/travail-remuneration/remuneration-globale/globale-salaires/emplois-reperes/305empl_an.htm" TargetMode="External"/><Relationship Id="rId69" Type="http://schemas.openxmlformats.org/officeDocument/2006/relationships/hyperlink" Target="https://www.homedepot.com/p/3M-Clear-Professional-Face-Shield-90028-80025/202195394" TargetMode="External"/><Relationship Id="rId113" Type="http://schemas.openxmlformats.org/officeDocument/2006/relationships/hyperlink" Target="https://www.canadiantire.ca/en/pdp/frank-disposable-vinyl-nitrile-gloves-50-pk-0428456p.html" TargetMode="External"/><Relationship Id="rId134" Type="http://schemas.openxmlformats.org/officeDocument/2006/relationships/hyperlink" Target="http://www.fiqsante.qc.ca/wp-content/uploads/2016/10/Echelles_salariales_Web_2016-2020_FR.pdf?download=1" TargetMode="External"/><Relationship Id="rId80"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55" Type="http://schemas.openxmlformats.org/officeDocument/2006/relationships/hyperlink" Target="https://www.homedepot.com/p/3M-Clear-Professional-Face-Shield-90028-80025/202195394" TargetMode="External"/><Relationship Id="rId176"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7" Type="http://schemas.openxmlformats.org/officeDocument/2006/relationships/hyperlink" Target="https://www.canadiansafetysupplies.com/N95-Particulate-Respirator-3M-p/8511.htm" TargetMode="External"/><Relationship Id="rId38" Type="http://schemas.openxmlformats.org/officeDocument/2006/relationships/hyperlink" Target="https://www.caaquebec.com/en/on-the-road/public-interest/gasoline-matters/gasoline-watch/" TargetMode="External"/><Relationship Id="rId59"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03" Type="http://schemas.openxmlformats.org/officeDocument/2006/relationships/hyperlink" Target="https://www.fishersci.ca/shop/products/therapak-corporation-coleman-excursion-handle-coolers-4/22131508" TargetMode="External"/><Relationship Id="rId124" Type="http://schemas.openxmlformats.org/officeDocument/2006/relationships/hyperlink" Target="http://www.fiqsante.qc.ca/wp-content/uploads/2016/10/Echelles_salariales_Web_2016-2020_FR.pdf?download=1" TargetMode="External"/><Relationship Id="rId70" Type="http://schemas.openxmlformats.org/officeDocument/2006/relationships/hyperlink" Target="https://www.canadiansafetysupplies.com/N95-Particulate-Respirator-3M-p/8511.htm" TargetMode="External"/><Relationship Id="rId91" Type="http://schemas.openxmlformats.org/officeDocument/2006/relationships/hyperlink" Target="https://www.stat.gouv.qc.ca/statistiques/travail-remuneration/remuneration-globale/globale-salaires/emplois-reperes/305empl_an.htm" TargetMode="External"/><Relationship Id="rId145" Type="http://schemas.openxmlformats.org/officeDocument/2006/relationships/hyperlink" Target="https://www.canadiantire.ca/en/pdp/frank-disposable-vinyl-nitrile-gloves-50-pk-0428456p.html" TargetMode="External"/><Relationship Id="rId166" Type="http://schemas.openxmlformats.org/officeDocument/2006/relationships/hyperlink" Target="https://www.fishersci.ca/shop/products/bd-micro-fine-contact-activated-lancet-3/p-3491417" TargetMode="External"/><Relationship Id="rId187" Type="http://schemas.openxmlformats.org/officeDocument/2006/relationships/hyperlink" Target="https://www.homedepot.com/p/3M-Clear-Professional-Face-Shield-90028-80025/202195394" TargetMode="External"/><Relationship Id="rId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8" Type="http://schemas.openxmlformats.org/officeDocument/2006/relationships/hyperlink" Target="https://www.canadiantire.ca/en/pdp/frank-disposable-vinyl-nitrile-gloves-50-pk-0428456p.html" TargetMode="External"/><Relationship Id="rId49" Type="http://schemas.openxmlformats.org/officeDocument/2006/relationships/hyperlink" Target="https://www.stat.gouv.qc.ca/statistiques/travail-remuneration/remuneration-globale/globale-salaires/emplois-reperes/305empl_an.htm" TargetMode="External"/><Relationship Id="rId114" Type="http://schemas.openxmlformats.org/officeDocument/2006/relationships/hyperlink" Target="https://www.canadiantire.ca/en/pdp/frank-disposable-vinyl-nitrile-gloves-50-pk-0428456p.html" TargetMode="External"/><Relationship Id="rId60" Type="http://schemas.openxmlformats.org/officeDocument/2006/relationships/hyperlink" Target="https://www.stat.gouv.qc.ca/statistiques/travail-remuneration/remuneration-globale/globale-salaires/emplois-reperes/305empl_an.htm" TargetMode="External"/><Relationship Id="rId81" Type="http://schemas.openxmlformats.org/officeDocument/2006/relationships/hyperlink" Target="https://www.canadiantire.ca/en/pdp/frank-disposable-vinyl-nitrile-gloves-50-pk-0428456p.html" TargetMode="External"/><Relationship Id="rId135"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156" Type="http://schemas.openxmlformats.org/officeDocument/2006/relationships/hyperlink" Target="https://www.canadiansafetysupplies.com/N95-Particulate-Respirator-3M-p/8511.htm" TargetMode="External"/><Relationship Id="rId177"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8" Type="http://schemas.openxmlformats.org/officeDocument/2006/relationships/hyperlink" Target="https://www.biobasic.com/96-well-plate-viral-dna-miniprep-kit/" TargetMode="External"/><Relationship Id="rId39" Type="http://schemas.openxmlformats.org/officeDocument/2006/relationships/hyperlink" Target="https://www.fishersci.ca/shop/products/therapak-corporation-coleman-excursion-handle-coolers-4/22131508" TargetMode="External"/></Relationships>
</file>

<file path=xl/worksheets/_rels/sheet5.xml.rels><?xml version="1.0" encoding="UTF-8" standalone="yes"?>
<Relationships xmlns="http://schemas.openxmlformats.org/package/2006/relationships"><Relationship Id="rId117" Type="http://schemas.openxmlformats.org/officeDocument/2006/relationships/hyperlink" Target="https://www.canadiantire.ca/en/pdp/frank-disposable-vinyl-nitrile-gloves-50-pk-0428456p.html" TargetMode="External"/><Relationship Id="rId21" Type="http://schemas.openxmlformats.org/officeDocument/2006/relationships/hyperlink" Target="https://www.fishersci.ca/shop/products/fisherbrand-biohazard-specimen-transport-bags-10/0180004" TargetMode="External"/><Relationship Id="rId42" Type="http://schemas.openxmlformats.org/officeDocument/2006/relationships/hyperlink" Target="https://neuvoo.ca/salary/?job=Laboratory%20Coordinator" TargetMode="External"/><Relationship Id="rId6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84" Type="http://schemas.openxmlformats.org/officeDocument/2006/relationships/hyperlink" Target="https://www.homedepot.com/p/3M-Clear-Professional-Face-Shield-90028-80025/202195394" TargetMode="External"/><Relationship Id="rId138" Type="http://schemas.openxmlformats.org/officeDocument/2006/relationships/hyperlink" Target="https://www.stat.gouv.qc.ca/statistiques/travail-remuneration/remuneration-globale/globale-salaires/emplois-reperes/305empl_an.htm" TargetMode="External"/><Relationship Id="rId159" Type="http://schemas.openxmlformats.org/officeDocument/2006/relationships/hyperlink" Target="https://www.homedepot.com/p/3M-Clear-Professional-Face-Shield-90028-80025/202195394" TargetMode="External"/><Relationship Id="rId170"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91" Type="http://schemas.openxmlformats.org/officeDocument/2006/relationships/hyperlink" Target="https://www.homedepot.com/p/3M-Clear-Professional-Face-Shield-90028-80025/202195394" TargetMode="External"/><Relationship Id="rId107"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1" Type="http://schemas.openxmlformats.org/officeDocument/2006/relationships/hyperlink" Target="http://www.fiqsante.qc.ca/wp-content/uploads/2016/10/Echelles_salariales_Web_2016-2020_FR.pdf?download=1" TargetMode="External"/><Relationship Id="rId32" Type="http://schemas.openxmlformats.org/officeDocument/2006/relationships/hyperlink" Target="https://www.homedepot.com/p/3M-Clear-Professional-Face-Shield-90028-80025/202195394" TargetMode="External"/><Relationship Id="rId5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74" Type="http://schemas.openxmlformats.org/officeDocument/2006/relationships/hyperlink" Target="https://www.caaquebec.com/en/on-the-road/public-interest/gasoline-matters/gasoline-watch/" TargetMode="External"/><Relationship Id="rId128"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49"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5" Type="http://schemas.openxmlformats.org/officeDocument/2006/relationships/hyperlink" Target="https://www.canadiantire.ca/en/pdp/frank-disposable-vinyl-nitrile-gloves-50-pk-0428456p.html" TargetMode="External"/><Relationship Id="rId95" Type="http://schemas.openxmlformats.org/officeDocument/2006/relationships/hyperlink" Target="https://www.fishersci.ca/shop/products/bd-micro-fine-contact-activated-lancet-3/p-3491417" TargetMode="External"/><Relationship Id="rId160" Type="http://schemas.openxmlformats.org/officeDocument/2006/relationships/hyperlink" Target="https://www.canadiansafetysupplies.com/N95-Particulate-Respirator-3M-p/8511.htm" TargetMode="External"/><Relationship Id="rId18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43"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64" Type="http://schemas.openxmlformats.org/officeDocument/2006/relationships/hyperlink" Target="http://www.fiqsante.qc.ca/wp-content/uploads/2016/10/Echelles_salariales_Web_2016-2020_FR.pdf?download=1" TargetMode="External"/><Relationship Id="rId118" Type="http://schemas.openxmlformats.org/officeDocument/2006/relationships/hyperlink" Target="https://www.homedepot.com/p/3M-Clear-Professional-Face-Shield-90028-80025/202195394" TargetMode="External"/><Relationship Id="rId139" Type="http://schemas.openxmlformats.org/officeDocument/2006/relationships/hyperlink" Target="https://www.stat.gouv.qc.ca/statistiques/travail-remuneration/remuneration-globale/globale-salaires/emplois-reperes/305empl_an.htm" TargetMode="External"/><Relationship Id="rId85" Type="http://schemas.openxmlformats.org/officeDocument/2006/relationships/hyperlink" Target="https://www.canadiansafetysupplies.com/N95-Particulate-Respirator-3M-p/8511.htm" TargetMode="External"/><Relationship Id="rId150" Type="http://schemas.openxmlformats.org/officeDocument/2006/relationships/hyperlink" Target="https://www.stat.gouv.qc.ca/statistiques/travail-remuneration/remuneration-globale/globale-salaires/emplois-reperes/305empl_an.htm" TargetMode="External"/><Relationship Id="rId171" Type="http://schemas.openxmlformats.org/officeDocument/2006/relationships/hyperlink" Target="https://www.canadiantire.ca/en/pdp/frank-disposable-vinyl-nitrile-gloves-50-pk-0428456p.html" TargetMode="External"/><Relationship Id="rId192" Type="http://schemas.openxmlformats.org/officeDocument/2006/relationships/hyperlink" Target="https://www.canadiansafetysupplies.com/N95-Particulate-Respirator-3M-p/8511.htm" TargetMode="External"/><Relationship Id="rId12" Type="http://schemas.openxmlformats.org/officeDocument/2006/relationships/hyperlink" Target="https://www.stat.gouv.qc.ca/statistiques/travail-remuneration/remuneration-globale/globale-salaires/emplois-reperes/305empl_an.htm" TargetMode="External"/><Relationship Id="rId33" Type="http://schemas.openxmlformats.org/officeDocument/2006/relationships/hyperlink" Target="https://www.canadiansafetysupplies.com/N95-Particulate-Respirator-3M-p/8511.htm" TargetMode="External"/><Relationship Id="rId108" Type="http://schemas.openxmlformats.org/officeDocument/2006/relationships/hyperlink" Target="https://www.canadiantire.ca/en/pdp/frank-disposable-vinyl-nitrile-gloves-50-pk-0428456p.html" TargetMode="External"/><Relationship Id="rId129" Type="http://schemas.openxmlformats.org/officeDocument/2006/relationships/hyperlink" Target="https://www.canadiantire.ca/en/pdp/frank-disposable-vinyl-nitrile-gloves-50-pk-0428456p.html" TargetMode="External"/><Relationship Id="rId54" Type="http://schemas.openxmlformats.org/officeDocument/2006/relationships/hyperlink" Target="http://www.fiqsante.qc.ca/wp-content/uploads/2016/10/Echelles_salariales_Web_2016-2020_FR.pdf?download=1" TargetMode="External"/><Relationship Id="rId75" Type="http://schemas.openxmlformats.org/officeDocument/2006/relationships/hyperlink" Target="https://www.fishersci.ca/shop/products/therapak-corporation-coleman-excursion-handle-coolers-4/22131508" TargetMode="External"/><Relationship Id="rId96" Type="http://schemas.openxmlformats.org/officeDocument/2006/relationships/hyperlink" Target="https://www.fishersci.ca/shop/products/bd-micro-fine-contact-activated-lancet-3/p-3491417" TargetMode="External"/><Relationship Id="rId140" Type="http://schemas.openxmlformats.org/officeDocument/2006/relationships/hyperlink" Target="https://www.stat.gouv.qc.ca/statistiques/travail-remuneration/remuneration-globale/globale-salaires/emplois-reperes/305empl_an.htm" TargetMode="External"/><Relationship Id="rId161" Type="http://schemas.openxmlformats.org/officeDocument/2006/relationships/hyperlink" Target="https://www.biobasic.com/96-well-plate-viral-dna-miniprep-kit/" TargetMode="External"/><Relationship Id="rId182" Type="http://schemas.openxmlformats.org/officeDocument/2006/relationships/hyperlink" Target="https://www.stat.gouv.qc.ca/statistiques/travail-remuneration/remuneration-globale/globale-salaires/emplois-reperes/305empl_an.htm" TargetMode="External"/><Relationship Id="rId6" Type="http://schemas.openxmlformats.org/officeDocument/2006/relationships/hyperlink" Target="https://www.canadiantire.ca/en/pdp/frank-disposable-vinyl-nitrile-gloves-50-pk-0428456p.html" TargetMode="External"/><Relationship Id="rId23" Type="http://schemas.openxmlformats.org/officeDocument/2006/relationships/hyperlink" Target="https://www.stat.gouv.qc.ca/statistiques/travail-remuneration/remuneration-globale/globale-salaires/emplois-reperes/305empl_an.htm" TargetMode="External"/><Relationship Id="rId119" Type="http://schemas.openxmlformats.org/officeDocument/2006/relationships/hyperlink" Target="https://www.canadiansafetysupplies.com/N95-Particulate-Respirator-3M-p/8511.htm" TargetMode="External"/><Relationship Id="rId44" Type="http://schemas.openxmlformats.org/officeDocument/2006/relationships/hyperlink" Target="https://www.canadiantire.ca/en/pdp/frank-disposable-vinyl-nitrile-gloves-50-pk-0428456p.html" TargetMode="External"/><Relationship Id="rId65"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86" Type="http://schemas.openxmlformats.org/officeDocument/2006/relationships/hyperlink" Target="https://www.grainger.ca/en/product/EAR-LOOP-MASK-BLUE%2CPK-50/p/WWG9E274" TargetMode="External"/><Relationship Id="rId130" Type="http://schemas.openxmlformats.org/officeDocument/2006/relationships/hyperlink" Target="https://www.canadiantire.ca/en/pdp/frank-disposable-vinyl-nitrile-gloves-50-pk-0428456p.html" TargetMode="External"/><Relationship Id="rId151" Type="http://schemas.openxmlformats.org/officeDocument/2006/relationships/hyperlink" Target="https://www.stat.gouv.qc.ca/statistiques/travail-remuneration/remuneration-globale/globale-salaires/emplois-reperes/305empl_an.htm" TargetMode="External"/><Relationship Id="rId172" Type="http://schemas.openxmlformats.org/officeDocument/2006/relationships/hyperlink" Target="https://www.canadiantire.ca/en/pdp/frank-disposable-vinyl-nitrile-gloves-50-pk-0428456p.html" TargetMode="External"/><Relationship Id="rId193" Type="http://schemas.openxmlformats.org/officeDocument/2006/relationships/hyperlink" Target="https://www.biobasic.com/96-well-plate-viral-dna-miniprep-kit/" TargetMode="External"/><Relationship Id="rId13" Type="http://schemas.openxmlformats.org/officeDocument/2006/relationships/hyperlink" Target="https://www.canadiantire.ca/en/pdp/frank-disposable-vinyl-nitrile-gloves-50-pk-0428456p.html" TargetMode="External"/><Relationship Id="rId109" Type="http://schemas.openxmlformats.org/officeDocument/2006/relationships/hyperlink" Target="https://www.canadiantire.ca/en/pdp/frank-disposable-vinyl-nitrile-gloves-50-pk-0428456p.html" TargetMode="External"/><Relationship Id="rId34" Type="http://schemas.openxmlformats.org/officeDocument/2006/relationships/hyperlink" Target="https://www.biobasic.com/96-well-plate-viral-dna-miniprep-kit/" TargetMode="External"/><Relationship Id="rId50"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55"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76" Type="http://schemas.openxmlformats.org/officeDocument/2006/relationships/hyperlink" Target="https://www.fishersci.ca/shop/products/fisherbrand-biohazard-specimen-transport-bags-10/0180004" TargetMode="External"/><Relationship Id="rId97" Type="http://schemas.openxmlformats.org/officeDocument/2006/relationships/hyperlink" Target="https://www.fishersci.ca/shop/products/bd-micro-fine-contact-activated-lancet-3/p-3491417" TargetMode="External"/><Relationship Id="rId104" Type="http://schemas.openxmlformats.org/officeDocument/2006/relationships/hyperlink" Target="http://www.fiqsante.qc.ca/wp-content/uploads/2016/10/Echelles_salariales_Web_2016-2020_FR.pdf?download=1" TargetMode="External"/><Relationship Id="rId120" Type="http://schemas.openxmlformats.org/officeDocument/2006/relationships/hyperlink" Target="https://www.grainger.ca/en/product/EAR-LOOP-MASK-BLUE%2CPK-50/p/WWG9E274" TargetMode="External"/><Relationship Id="rId125" Type="http://schemas.openxmlformats.org/officeDocument/2006/relationships/hyperlink" Target="https://www.stat.gouv.qc.ca/statistiques/travail-remuneration/remuneration-globale/globale-salaires/emplois-reperes/305empl_an.htm" TargetMode="External"/><Relationship Id="rId141" Type="http://schemas.openxmlformats.org/officeDocument/2006/relationships/hyperlink" Target="https://neuvoo.ca/salary/?job=Laboratory%20Coordinator" TargetMode="External"/><Relationship Id="rId146" Type="http://schemas.openxmlformats.org/officeDocument/2006/relationships/hyperlink" Target="https://www.canadiansafetysupplies.com/N95-Particulate-Respirator-3M-p/8511.htm" TargetMode="External"/><Relationship Id="rId167" Type="http://schemas.openxmlformats.org/officeDocument/2006/relationships/hyperlink" Target="https://www.stat.gouv.qc.ca/statistiques/travail-remuneration/remuneration-globale/globale-salaires/emplois-reperes/305empl_an.htm" TargetMode="External"/><Relationship Id="rId188"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7" Type="http://schemas.openxmlformats.org/officeDocument/2006/relationships/hyperlink" Target="https://www.homedepot.com/p/3M-Clear-Professional-Face-Shield-90028-80025/202195394" TargetMode="External"/><Relationship Id="rId71" Type="http://schemas.openxmlformats.org/officeDocument/2006/relationships/hyperlink" Target="https://www.canadiansafetysupplies.com/N95-Particulate-Respirator-3M-p/8511.htm" TargetMode="External"/><Relationship Id="rId92" Type="http://schemas.openxmlformats.org/officeDocument/2006/relationships/hyperlink" Target="https://www.homedepot.com/p/3M-Clear-Professional-Face-Shield-90028-80025/202195394" TargetMode="External"/><Relationship Id="rId162" Type="http://schemas.openxmlformats.org/officeDocument/2006/relationships/hyperlink" Target="https://www.biobasic.com/sars-cov-2-covid-19-rt-qpcr-detection-kit/" TargetMode="External"/><Relationship Id="rId183" Type="http://schemas.openxmlformats.org/officeDocument/2006/relationships/hyperlink" Target="https://www.stat.gouv.qc.ca/statistiques/travail-remuneration/remuneration-globale/globale-salaires/emplois-reperes/305empl_an.htm" TargetMode="External"/><Relationship Id="rId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9"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24" Type="http://schemas.openxmlformats.org/officeDocument/2006/relationships/hyperlink" Target="https://www.stat.gouv.qc.ca/statistiques/travail-remuneration/remuneration-globale/globale-salaires/emplois-reperes/305empl_an.htm" TargetMode="External"/><Relationship Id="rId40" Type="http://schemas.openxmlformats.org/officeDocument/2006/relationships/hyperlink" Target="https://www.stat.gouv.qc.ca/statistiques/travail-remuneration/remuneration-globale/globale-salaires/emplois-reperes/305empl_an.htm" TargetMode="External"/><Relationship Id="rId45" Type="http://schemas.openxmlformats.org/officeDocument/2006/relationships/hyperlink" Target="https://www.canadiantire.ca/en/pdp/frank-disposable-vinyl-nitrile-gloves-50-pk-0428456p.html" TargetMode="External"/><Relationship Id="rId66"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87"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10" Type="http://schemas.openxmlformats.org/officeDocument/2006/relationships/hyperlink" Target="https://www.homedepot.com/p/3M-Clear-Professional-Face-Shield-90028-80025/202195394" TargetMode="External"/><Relationship Id="rId115"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31" Type="http://schemas.openxmlformats.org/officeDocument/2006/relationships/hyperlink" Target="https://www.homedepot.com/p/3M-Clear-Professional-Face-Shield-90028-80025/202195394" TargetMode="External"/><Relationship Id="rId136" Type="http://schemas.openxmlformats.org/officeDocument/2006/relationships/hyperlink" Target="https://www.stat.gouv.qc.ca/statistiques/travail-remuneration/remuneration-globale/globale-salaires/emplois-reperes/305empl_an.htm" TargetMode="External"/><Relationship Id="rId157" Type="http://schemas.openxmlformats.org/officeDocument/2006/relationships/hyperlink" Target="https://www.canadiantire.ca/en/pdp/frank-disposable-vinyl-nitrile-gloves-50-pk-0428456p.html" TargetMode="External"/><Relationship Id="rId178" Type="http://schemas.openxmlformats.org/officeDocument/2006/relationships/hyperlink" Target="https://www.fishersci.ca/shop/products/fisherbrand-biohazard-specimen-transport-bags-10/0180004" TargetMode="External"/><Relationship Id="rId61" Type="http://schemas.openxmlformats.org/officeDocument/2006/relationships/hyperlink" Target="https://www.canadiansafetysupplies.com/N95-Particulate-Respirator-3M-p/8511.htm" TargetMode="External"/><Relationship Id="rId82" Type="http://schemas.openxmlformats.org/officeDocument/2006/relationships/hyperlink" Target="https://www.canadiantire.ca/en/pdp/frank-disposable-vinyl-nitrile-gloves-50-pk-0428456p.html" TargetMode="External"/><Relationship Id="rId152" Type="http://schemas.openxmlformats.org/officeDocument/2006/relationships/hyperlink" Target="https://www.stat.gouv.qc.ca/statistiques/travail-remuneration/remuneration-globale/globale-salaires/emplois-reperes/305empl_an.htm" TargetMode="External"/><Relationship Id="rId173" Type="http://schemas.openxmlformats.org/officeDocument/2006/relationships/hyperlink" Target="https://www.homedepot.com/p/3M-Clear-Professional-Face-Shield-90028-80025/202195394" TargetMode="External"/><Relationship Id="rId19" Type="http://schemas.openxmlformats.org/officeDocument/2006/relationships/hyperlink" Target="https://www.caaquebec.com/en/on-the-road/public-interest/gasoline-matters/gasoline-watch/" TargetMode="External"/><Relationship Id="rId14" Type="http://schemas.openxmlformats.org/officeDocument/2006/relationships/hyperlink" Target="https://www.canadiantire.ca/en/pdp/frank-disposable-vinyl-nitrile-gloves-50-pk-0428456p.html" TargetMode="External"/><Relationship Id="rId30" Type="http://schemas.openxmlformats.org/officeDocument/2006/relationships/hyperlink" Target="https://www.canadiantire.ca/en/pdp/frank-disposable-vinyl-nitrile-gloves-50-pk-0428456p.html" TargetMode="External"/><Relationship Id="rId35" Type="http://schemas.openxmlformats.org/officeDocument/2006/relationships/hyperlink" Target="https://www.biobasic.com/sars-cov-2-covid-19-rt-qpcr-detection-kit/" TargetMode="External"/><Relationship Id="rId56"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77" Type="http://schemas.openxmlformats.org/officeDocument/2006/relationships/hyperlink" Target="http://imt.emploiquebec.gouv.qc.ca/mtg/inter/noncache/contenu/asp/mtg122_sommprofs_01.asp?aprof=1223&amp;PT4=53&amp;motpro=Human+resources&amp;lang=ANGL&amp;Porte=1&amp;cregncmp1=QC&amp;ssai=0&amp;pro=1223&amp;PT2=21&amp;cregn=QC&amp;PT1=25&amp;type=01&amp;PT3=10" TargetMode="External"/><Relationship Id="rId100" Type="http://schemas.openxmlformats.org/officeDocument/2006/relationships/hyperlink" Target="https://www.fishersci.ca/shop/products/bd-micro-fine-contact-activated-lancet-3/p-3491417" TargetMode="External"/><Relationship Id="rId10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26" Type="http://schemas.openxmlformats.org/officeDocument/2006/relationships/hyperlink" Target="https://www.stat.gouv.qc.ca/statistiques/travail-remuneration/remuneration-globale/globale-salaires/emplois-reperes/305empl_an.htm" TargetMode="External"/><Relationship Id="rId147" Type="http://schemas.openxmlformats.org/officeDocument/2006/relationships/hyperlink" Target="https://www.biobasic.com/96-well-plate-viral-dna-miniprep-kit/" TargetMode="External"/><Relationship Id="rId168" Type="http://schemas.openxmlformats.org/officeDocument/2006/relationships/hyperlink" Target="https://www.stat.gouv.qc.ca/statistiques/travail-remuneration/remuneration-globale/globale-salaires/emplois-reperes/305empl_an.htm" TargetMode="External"/><Relationship Id="rId8" Type="http://schemas.openxmlformats.org/officeDocument/2006/relationships/hyperlink" Target="https://www.canadiansafetysupplies.com/N95-Particulate-Respirator-3M-p/8511.htm" TargetMode="External"/><Relationship Id="rId51" Type="http://schemas.openxmlformats.org/officeDocument/2006/relationships/hyperlink" Target="http://www.fiqsante.qc.ca/wp-content/uploads/2016/10/Echelles_salariales_Web_2016-2020_FR.pdf?download=1" TargetMode="External"/><Relationship Id="rId72" Type="http://schemas.openxmlformats.org/officeDocument/2006/relationships/hyperlink" Target="https://www.grainger.ca/en/product/EAR-LOOP-MASK-BLUE%2CPK-50/p/WWG9E274" TargetMode="External"/><Relationship Id="rId93" Type="http://schemas.openxmlformats.org/officeDocument/2006/relationships/hyperlink" Target="https://www.canadiansafetysupplies.com/N95-Particulate-Respirator-3M-p/8511.htm" TargetMode="External"/><Relationship Id="rId98" Type="http://schemas.openxmlformats.org/officeDocument/2006/relationships/hyperlink" Target="https://www.fishersci.ca/shop/products/bd-micro-fine-contact-activated-lancet-3/p-3491417" TargetMode="External"/><Relationship Id="rId12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42"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6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84" Type="http://schemas.openxmlformats.org/officeDocument/2006/relationships/hyperlink" Target="https://www.thermofisher.com/us/en/home/references/protocols/cell-and-tissue-analysis/elisa-protocol/general-elisa-protocol.html" TargetMode="External"/><Relationship Id="rId189" Type="http://schemas.openxmlformats.org/officeDocument/2006/relationships/hyperlink" Target="https://www.canadiantire.ca/en/pdp/frank-disposable-vinyl-nitrile-gloves-50-pk-0428456p.html" TargetMode="External"/><Relationship Id="rId3" Type="http://schemas.openxmlformats.org/officeDocument/2006/relationships/hyperlink" Target="http://www.fiqsante.qc.ca/wp-content/uploads/2016/10/Echelles_salariales_Web_2016-2020_FR.pdf?download=1" TargetMode="External"/><Relationship Id="rId25" Type="http://schemas.openxmlformats.org/officeDocument/2006/relationships/hyperlink" Target="https://www.stat.gouv.qc.ca/statistiques/travail-remuneration/remuneration-globale/globale-salaires/emplois-reperes/305empl_an.htm" TargetMode="External"/><Relationship Id="rId46" Type="http://schemas.openxmlformats.org/officeDocument/2006/relationships/hyperlink" Target="https://www.homedepot.com/p/3M-Clear-Professional-Face-Shield-90028-80025/202195394" TargetMode="External"/><Relationship Id="rId67" Type="http://schemas.openxmlformats.org/officeDocument/2006/relationships/hyperlink" Target="https://www.stat.gouv.qc.ca/statistiques/travail-remuneration/remuneration-globale/globale-salaires/emplois-reperes/305empl_an.htm" TargetMode="External"/><Relationship Id="rId116" Type="http://schemas.openxmlformats.org/officeDocument/2006/relationships/hyperlink" Target="https://www.canadiantire.ca/en/pdp/frank-disposable-vinyl-nitrile-gloves-50-pk-0428456p.html" TargetMode="External"/><Relationship Id="rId137" Type="http://schemas.openxmlformats.org/officeDocument/2006/relationships/hyperlink" Target="https://www.stat.gouv.qc.ca/statistiques/travail-remuneration/remuneration-globale/globale-salaires/emplois-reperes/305empl_an.htm" TargetMode="External"/><Relationship Id="rId158" Type="http://schemas.openxmlformats.org/officeDocument/2006/relationships/hyperlink" Target="https://www.canadiantire.ca/en/pdp/frank-disposable-vinyl-nitrile-gloves-50-pk-0428456p.html" TargetMode="External"/><Relationship Id="rId20" Type="http://schemas.openxmlformats.org/officeDocument/2006/relationships/hyperlink" Target="https://www.fishersci.ca/shop/products/therapak-corporation-coleman-excursion-handle-coolers-4/22131508" TargetMode="External"/><Relationship Id="rId41" Type="http://schemas.openxmlformats.org/officeDocument/2006/relationships/hyperlink" Target="https://www.stat.gouv.qc.ca/statistiques/travail-remuneration/remuneration-globale/globale-salaires/emplois-reperes/305empl_an.htm" TargetMode="External"/><Relationship Id="rId62" Type="http://schemas.openxmlformats.org/officeDocument/2006/relationships/hyperlink" Target="https://www.grainger.ca/en/product/EAR-LOOP-MASK-BLUE%2CPK-50/p/WWG9E274" TargetMode="External"/><Relationship Id="rId83" Type="http://schemas.openxmlformats.org/officeDocument/2006/relationships/hyperlink" Target="https://www.canadiantire.ca/en/pdp/frank-disposable-vinyl-nitrile-gloves-50-pk-0428456p.html" TargetMode="External"/><Relationship Id="rId88" Type="http://schemas.openxmlformats.org/officeDocument/2006/relationships/hyperlink" Target="http://www.fiqsante.qc.ca/wp-content/uploads/2016/10/Echelles_salariales_Web_2016-2020_FR.pdf?download=1" TargetMode="External"/><Relationship Id="rId111" Type="http://schemas.openxmlformats.org/officeDocument/2006/relationships/hyperlink" Target="https://www.canadiansafetysupplies.com/N95-Particulate-Respirator-3M-p/8511.htm" TargetMode="External"/><Relationship Id="rId132" Type="http://schemas.openxmlformats.org/officeDocument/2006/relationships/hyperlink" Target="https://www.canadiansafetysupplies.com/N95-Particulate-Respirator-3M-p/8511.htm" TargetMode="External"/><Relationship Id="rId153" Type="http://schemas.openxmlformats.org/officeDocument/2006/relationships/hyperlink" Target="https://www.stat.gouv.qc.ca/statistiques/travail-remuneration/remuneration-globale/globale-salaires/emplois-reperes/305empl_an.htm" TargetMode="External"/><Relationship Id="rId174" Type="http://schemas.openxmlformats.org/officeDocument/2006/relationships/hyperlink" Target="https://www.canadiansafetysupplies.com/N95-Particulate-Respirator-3M-p/8511.htm" TargetMode="External"/><Relationship Id="rId179" Type="http://schemas.openxmlformats.org/officeDocument/2006/relationships/hyperlink" Target="https://www.fishersci.ca/shop/products/therapak-corporation-coleman-excursion-handle-coolers-4/22131508" TargetMode="External"/><Relationship Id="rId190" Type="http://schemas.openxmlformats.org/officeDocument/2006/relationships/hyperlink" Target="https://www.canadiantire.ca/en/pdp/frank-disposable-vinyl-nitrile-gloves-50-pk-0428456p.html" TargetMode="External"/><Relationship Id="rId15" Type="http://schemas.openxmlformats.org/officeDocument/2006/relationships/hyperlink" Target="https://www.homedepot.com/p/3M-Clear-Professional-Face-Shield-90028-80025/202195394" TargetMode="External"/><Relationship Id="rId36"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57" Type="http://schemas.openxmlformats.org/officeDocument/2006/relationships/hyperlink" Target="https://www.stat.gouv.qc.ca/statistiques/travail-remuneration/remuneration-globale/globale-salaires/emplois-reperes/305empl_an.htm" TargetMode="External"/><Relationship Id="rId106" Type="http://schemas.openxmlformats.org/officeDocument/2006/relationships/hyperlink" Target="http://www.fiqsante.qc.ca/wp-content/uploads/2016/10/Echelles_salariales_Web_2016-2020_FR.pdf?download=1" TargetMode="External"/><Relationship Id="rId127" Type="http://schemas.openxmlformats.org/officeDocument/2006/relationships/hyperlink" Target="https://neuvoo.ca/salary/?job=Laboratory%20Coordinator" TargetMode="External"/><Relationship Id="rId10"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31" Type="http://schemas.openxmlformats.org/officeDocument/2006/relationships/hyperlink" Target="https://www.canadiantire.ca/en/pdp/frank-disposable-vinyl-nitrile-gloves-50-pk-0428456p.html" TargetMode="External"/><Relationship Id="rId52" Type="http://schemas.openxmlformats.org/officeDocument/2006/relationships/hyperlink" Target="http://www.fiqsante.qc.ca/wp-content/uploads/2016/10/Echelles_salariales_Web_2016-2020_FR.pdf?download=1" TargetMode="External"/><Relationship Id="rId73" Type="http://schemas.openxmlformats.org/officeDocument/2006/relationships/hyperlink" Target="http://imt.emploiquebec.gouv.qc.ca/mtg/inter/noncache/contenu/asp/mtg122_sommprofs_01.asp?aprof=3414&amp;PT4=53&amp;lang=ANGL&amp;Porte=1&amp;cregncmp1=QC&amp;ssai=0&amp;motpro=transport+attendant&amp;pro=3414&amp;PT2=21&amp;cregn=QC&amp;PT1=25&amp;type=01&amp;PT3=10" TargetMode="External"/><Relationship Id="rId78" Type="http://schemas.openxmlformats.org/officeDocument/2006/relationships/hyperlink" Target="https://www.ramq.gouv.qc.ca/SiteCollectionDocuments/professionnels/manuels/syra/medecins-specialistes/150-facturation-specialistes/manuel-specialistes-remuneration-acte.html" TargetMode="External"/><Relationship Id="rId94" Type="http://schemas.openxmlformats.org/officeDocument/2006/relationships/hyperlink" Target="https://www.grainger.ca/en/product/EAR-LOOP-MASK-BLUE%2CPK-50/p/WWG9E274" TargetMode="External"/><Relationship Id="rId99" Type="http://schemas.openxmlformats.org/officeDocument/2006/relationships/hyperlink" Target="https://www.fishersci.ca/shop/products/bd-micro-fine-contact-activated-lancet-3/p-3491417" TargetMode="External"/><Relationship Id="rId101" Type="http://schemas.openxmlformats.org/officeDocument/2006/relationships/hyperlink" Target="https://www.fishersci.ca/shop/products/bd-micro-fine-contact-activated-lancet-3/p-3491417" TargetMode="External"/><Relationship Id="rId122" Type="http://schemas.openxmlformats.org/officeDocument/2006/relationships/hyperlink" Target="https://www.stat.gouv.qc.ca/statistiques/travail-remuneration/remuneration-globale/globale-salaires/emplois-reperes/305empl_an.htm" TargetMode="External"/><Relationship Id="rId143" Type="http://schemas.openxmlformats.org/officeDocument/2006/relationships/hyperlink" Target="https://www.canadiantire.ca/en/pdp/frank-disposable-vinyl-nitrile-gloves-50-pk-0428456p.html" TargetMode="External"/><Relationship Id="rId148" Type="http://schemas.openxmlformats.org/officeDocument/2006/relationships/hyperlink" Target="https://www.biobasic.com/sars-cov-2-covid-19-rt-qpcr-detection-kit/" TargetMode="External"/><Relationship Id="rId164" Type="http://schemas.openxmlformats.org/officeDocument/2006/relationships/hyperlink" Target="https://www.stat.gouv.qc.ca/statistiques/travail-remuneration/remuneration-globale/globale-salaires/emplois-reperes/305empl_an.htm" TargetMode="External"/><Relationship Id="rId169" Type="http://schemas.openxmlformats.org/officeDocument/2006/relationships/hyperlink" Target="https://neuvoo.ca/salary/?job=Laboratory%20Coordinator" TargetMode="External"/><Relationship Id="rId185" Type="http://schemas.openxmlformats.org/officeDocument/2006/relationships/hyperlink" Target="https://www.roche.com/media/releases/med-cor-2020-04-17.htm" TargetMode="External"/><Relationship Id="rId4" Type="http://schemas.openxmlformats.org/officeDocument/2006/relationships/hyperlink" Target="https://www.stat.gouv.qc.ca/statistiques/travail-remuneration/remuneration-globale/globale-salaires/emplois-reperes/305empl_an.htm" TargetMode="External"/><Relationship Id="rId9" Type="http://schemas.openxmlformats.org/officeDocument/2006/relationships/hyperlink" Target="https://www.grainger.ca/en/product/EAR-LOOP-MASK-BLUE%2CPK-50/p/WWG9E274" TargetMode="External"/><Relationship Id="rId180" Type="http://schemas.openxmlformats.org/officeDocument/2006/relationships/hyperlink" Target="https://www.fishersci.ca/shop/products/fisherbrand-biohazard-specimen-transport-bags-10/0180004" TargetMode="External"/><Relationship Id="rId26" Type="http://schemas.openxmlformats.org/officeDocument/2006/relationships/hyperlink" Target="https://www.stat.gouv.qc.ca/statistiques/travail-remuneration/remuneration-globale/globale-salaires/emplois-reperes/305empl_an.htm" TargetMode="External"/><Relationship Id="rId47" Type="http://schemas.openxmlformats.org/officeDocument/2006/relationships/hyperlink" Target="https://www.canadiansafetysupplies.com/N95-Particulate-Respirator-3M-p/8511.htm" TargetMode="External"/><Relationship Id="rId68" Type="http://schemas.openxmlformats.org/officeDocument/2006/relationships/hyperlink" Target="https://www.canadiantire.ca/en/pdp/frank-disposable-vinyl-nitrile-gloves-50-pk-0428456p.html" TargetMode="External"/><Relationship Id="rId89" Type="http://schemas.openxmlformats.org/officeDocument/2006/relationships/hyperlink" Target="https://www.stat.gouv.qc.ca/statistiques/travail-remuneration/remuneration-globale/globale-salaires/emplois-reperes/305empl_an.htm" TargetMode="External"/><Relationship Id="rId112" Type="http://schemas.openxmlformats.org/officeDocument/2006/relationships/hyperlink" Target="https://www.grainger.ca/en/product/EAR-LOOP-MASK-BLUE%2CPK-50/p/WWG9E274" TargetMode="External"/><Relationship Id="rId133" Type="http://schemas.openxmlformats.org/officeDocument/2006/relationships/hyperlink" Target="https://www.biobasic.com/96-well-plate-viral-dna-miniprep-kit/" TargetMode="External"/><Relationship Id="rId154" Type="http://schemas.openxmlformats.org/officeDocument/2006/relationships/hyperlink" Target="https://www.stat.gouv.qc.ca/statistiques/travail-remuneration/remuneration-globale/globale-salaires/emplois-reperes/305empl_an.htm" TargetMode="External"/><Relationship Id="rId175" Type="http://schemas.openxmlformats.org/officeDocument/2006/relationships/hyperlink" Target="https://www.biobasic.com/96-well-plate-viral-dna-miniprep-kit/" TargetMode="External"/><Relationship Id="rId16" Type="http://schemas.openxmlformats.org/officeDocument/2006/relationships/hyperlink" Target="https://www.canadiansafetysupplies.com/N95-Particulate-Respirator-3M-p/8511.htm" TargetMode="External"/><Relationship Id="rId37" Type="http://schemas.openxmlformats.org/officeDocument/2006/relationships/hyperlink" Target="https://www.stat.gouv.qc.ca/statistiques/travail-remuneration/remuneration-globale/globale-salaires/emplois-reperes/305empl_an.htm" TargetMode="External"/><Relationship Id="rId58" Type="http://schemas.openxmlformats.org/officeDocument/2006/relationships/hyperlink" Target="https://www.canadiantire.ca/en/pdp/frank-disposable-vinyl-nitrile-gloves-50-pk-0428456p.html" TargetMode="External"/><Relationship Id="rId79"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02" Type="http://schemas.openxmlformats.org/officeDocument/2006/relationships/hyperlink" Target="https://www.fishersci.ca/shop/products/bd-micro-fine-contact-activated-lancet-3/p-3491417" TargetMode="External"/><Relationship Id="rId123" Type="http://schemas.openxmlformats.org/officeDocument/2006/relationships/hyperlink" Target="https://www.stat.gouv.qc.ca/statistiques/travail-remuneration/remuneration-globale/globale-salaires/emplois-reperes/305empl_an.htm" TargetMode="External"/><Relationship Id="rId144" Type="http://schemas.openxmlformats.org/officeDocument/2006/relationships/hyperlink" Target="https://www.canadiantire.ca/en/pdp/frank-disposable-vinyl-nitrile-gloves-50-pk-0428456p.html" TargetMode="External"/><Relationship Id="rId90" Type="http://schemas.openxmlformats.org/officeDocument/2006/relationships/hyperlink" Target="https://www.canadiantire.ca/en/pdp/frank-disposable-vinyl-nitrile-gloves-50-pk-0428456p.html" TargetMode="External"/><Relationship Id="rId165" Type="http://schemas.openxmlformats.org/officeDocument/2006/relationships/hyperlink" Target="https://www.stat.gouv.qc.ca/statistiques/travail-remuneration/remuneration-globale/globale-salaires/emplois-reperes/305empl_an.htm" TargetMode="External"/><Relationship Id="rId186" Type="http://schemas.openxmlformats.org/officeDocument/2006/relationships/hyperlink" Target="https://www.stat.gouv.qc.ca/statistiques/travail-remuneration/remuneration-globale/globale-salaires/emplois-reperes/305empl_an.htm" TargetMode="External"/><Relationship Id="rId27" Type="http://schemas.openxmlformats.org/officeDocument/2006/relationships/hyperlink" Target="https://www.stat.gouv.qc.ca/statistiques/travail-remuneration/remuneration-globale/globale-salaires/emplois-reperes/305empl_an.htm" TargetMode="External"/><Relationship Id="rId48" Type="http://schemas.openxmlformats.org/officeDocument/2006/relationships/hyperlink" Target="https://www.biobasic.com/96-well-plate-viral-dna-miniprep-kit/" TargetMode="External"/><Relationship Id="rId69" Type="http://schemas.openxmlformats.org/officeDocument/2006/relationships/hyperlink" Target="https://www.canadiantire.ca/en/pdp/frank-disposable-vinyl-nitrile-gloves-50-pk-0428456p.html" TargetMode="External"/><Relationship Id="rId11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34" Type="http://schemas.openxmlformats.org/officeDocument/2006/relationships/hyperlink" Target="https://www.biobasic.com/sars-cov-2-covid-19-rt-qpcr-detection-kit/" TargetMode="External"/><Relationship Id="rId80" Type="http://schemas.openxmlformats.org/officeDocument/2006/relationships/hyperlink" Target="http://www.fiqsante.qc.ca/wp-content/uploads/2016/10/Echelles_salariales_Web_2016-2020_FR.pdf?download=1" TargetMode="External"/><Relationship Id="rId155" Type="http://schemas.openxmlformats.org/officeDocument/2006/relationships/hyperlink" Target="https://neuvoo.ca/salary/?job=Laboratory%20Coordinator" TargetMode="External"/><Relationship Id="rId176" Type="http://schemas.openxmlformats.org/officeDocument/2006/relationships/hyperlink" Target="https://www.biobasic.com/sars-cov-2-covid-19-rt-qpcr-detection-kit/" TargetMode="External"/><Relationship Id="rId17" Type="http://schemas.openxmlformats.org/officeDocument/2006/relationships/hyperlink" Target="https://www.grainger.ca/en/product/EAR-LOOP-MASK-BLUE%2CPK-50/p/WWG9E274" TargetMode="External"/><Relationship Id="rId38" Type="http://schemas.openxmlformats.org/officeDocument/2006/relationships/hyperlink" Target="https://www.stat.gouv.qc.ca/statistiques/travail-remuneration/remuneration-globale/globale-salaires/emplois-reperes/305empl_an.htm" TargetMode="External"/><Relationship Id="rId59" Type="http://schemas.openxmlformats.org/officeDocument/2006/relationships/hyperlink" Target="https://www.canadiantire.ca/en/pdp/frank-disposable-vinyl-nitrile-gloves-50-pk-0428456p.html" TargetMode="External"/><Relationship Id="rId103" Type="http://schemas.openxmlformats.org/officeDocument/2006/relationships/hyperlink" Target="http://www.fiqsante.qc.ca/wp-content/uploads/2016/10/Echelles_salariales_Web_2016-2020_FR.pdf?download=1" TargetMode="External"/><Relationship Id="rId124" Type="http://schemas.openxmlformats.org/officeDocument/2006/relationships/hyperlink" Target="https://www.stat.gouv.qc.ca/statistiques/travail-remuneration/remuneration-globale/globale-salaires/emplois-reperes/305empl_an.htm" TargetMode="External"/><Relationship Id="rId70" Type="http://schemas.openxmlformats.org/officeDocument/2006/relationships/hyperlink" Target="https://www.homedepot.com/p/3M-Clear-Professional-Face-Shield-90028-80025/202195394" TargetMode="External"/><Relationship Id="rId91" Type="http://schemas.openxmlformats.org/officeDocument/2006/relationships/hyperlink" Target="https://www.canadiantire.ca/en/pdp/frank-disposable-vinyl-nitrile-gloves-50-pk-0428456p.html" TargetMode="External"/><Relationship Id="rId145" Type="http://schemas.openxmlformats.org/officeDocument/2006/relationships/hyperlink" Target="https://www.homedepot.com/p/3M-Clear-Professional-Face-Shield-90028-80025/202195394" TargetMode="External"/><Relationship Id="rId166" Type="http://schemas.openxmlformats.org/officeDocument/2006/relationships/hyperlink" Target="https://www.stat.gouv.qc.ca/statistiques/travail-remuneration/remuneration-globale/globale-salaires/emplois-reperes/305empl_an.htm" TargetMode="External"/><Relationship Id="rId187" Type="http://schemas.openxmlformats.org/officeDocument/2006/relationships/hyperlink" Target="https://neuvoo.ca/salary/?job=Laboratory%20Coordinator" TargetMode="External"/><Relationship Id="rId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8" Type="http://schemas.openxmlformats.org/officeDocument/2006/relationships/hyperlink" Target="https://neuvoo.ca/salary/?job=Laboratory%20Coordinator" TargetMode="External"/><Relationship Id="rId49" Type="http://schemas.openxmlformats.org/officeDocument/2006/relationships/hyperlink" Target="https://www.biobasic.com/sars-cov-2-covid-19-rt-qpcr-detection-kit/" TargetMode="External"/><Relationship Id="rId114" Type="http://schemas.openxmlformats.org/officeDocument/2006/relationships/hyperlink" Target="http://www.fiqsante.qc.ca/wp-content/uploads/2016/10/Echelles_salariales_Web_2016-2020_FR.pdf?download=1" TargetMode="External"/><Relationship Id="rId60" Type="http://schemas.openxmlformats.org/officeDocument/2006/relationships/hyperlink" Target="https://www.homedepot.com/p/3M-Clear-Professional-Face-Shield-90028-80025/202195394" TargetMode="External"/><Relationship Id="rId81" Type="http://schemas.openxmlformats.org/officeDocument/2006/relationships/hyperlink" Target="https://www.stat.gouv.qc.ca/statistiques/travail-remuneration/remuneration-globale/globale-salaires/emplois-reperes/305empl_an.htm" TargetMode="External"/><Relationship Id="rId13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56"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77" Type="http://schemas.openxmlformats.org/officeDocument/2006/relationships/hyperlink" Target="https://www.fishersci.ca/shop/products/therapak-corporation-coleman-excursion-handle-coolers-4/22131508" TargetMode="External"/><Relationship Id="rId18" Type="http://schemas.openxmlformats.org/officeDocument/2006/relationships/hyperlink" Target="http://imt.emploiquebec.gouv.qc.ca/mtg/inter/noncache/contenu/asp/mtg122_sommprofs_01.asp?aprof=3414&amp;PT4=53&amp;lang=ANGL&amp;Porte=1&amp;cregncmp1=QC&amp;ssai=0&amp;motpro=transport+attendant&amp;pro=3414&amp;PT2=21&amp;cregn=QC&amp;PT1=25&amp;type=01&amp;PT3=10" TargetMode="External"/><Relationship Id="rId39" Type="http://schemas.openxmlformats.org/officeDocument/2006/relationships/hyperlink" Target="https://www.stat.gouv.qc.ca/statistiques/travail-remuneration/remuneration-globale/globale-salaires/emplois-reperes/305empl_an.htm" TargetMode="External"/></Relationships>
</file>

<file path=xl/worksheets/_rels/sheet6.xml.rels><?xml version="1.0" encoding="UTF-8" standalone="yes"?>
<Relationships xmlns="http://schemas.openxmlformats.org/package/2006/relationships"><Relationship Id="rId117" Type="http://schemas.openxmlformats.org/officeDocument/2006/relationships/hyperlink" Target="https://www.homedepot.com/p/3M-Clear-Professional-Face-Shield-90028-80025/202195394" TargetMode="External"/><Relationship Id="rId21" Type="http://schemas.openxmlformats.org/officeDocument/2006/relationships/hyperlink" Target="https://www.homedepot.com/p/3M-Clear-Professional-Face-Shield-90028-80025/202195394" TargetMode="External"/><Relationship Id="rId4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63" Type="http://schemas.openxmlformats.org/officeDocument/2006/relationships/hyperlink" Target="https://www.caaquebec.com/en/on-the-road/public-interest/gasoline-matters/gasoline-watch/" TargetMode="External"/><Relationship Id="rId84" Type="http://schemas.openxmlformats.org/officeDocument/2006/relationships/hyperlink" Target="https://www.canadiansafetysupplies.com/N95-Particulate-Respirator-3M-p/8511.htm" TargetMode="External"/><Relationship Id="rId138" Type="http://schemas.openxmlformats.org/officeDocument/2006/relationships/hyperlink" Target="https://www.stat.gouv.qc.ca/statistiques/travail-remuneration/remuneration-globale/globale-salaires/emplois-reperes/305empl_an.htm" TargetMode="External"/><Relationship Id="rId159" Type="http://schemas.openxmlformats.org/officeDocument/2006/relationships/hyperlink" Target="https://www.canadiansafetysupplies.com/N95-Particulate-Respirator-3M-p/8511.htm" TargetMode="External"/><Relationship Id="rId170" Type="http://schemas.openxmlformats.org/officeDocument/2006/relationships/hyperlink" Target="https://www.canadiantire.ca/en/pdp/frank-disposable-vinyl-nitrile-gloves-50-pk-0428456p.html" TargetMode="External"/><Relationship Id="rId191" Type="http://schemas.openxmlformats.org/officeDocument/2006/relationships/hyperlink" Target="https://www.homedepot.com/p/3M-Clear-Professional-Face-Shield-90028-80025/202195394" TargetMode="External"/><Relationship Id="rId107"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32"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53" Type="http://schemas.openxmlformats.org/officeDocument/2006/relationships/hyperlink" Target="http://www.fiqsante.qc.ca/wp-content/uploads/2016/10/Echelles_salariales_Web_2016-2020_FR.pdf?download=1" TargetMode="External"/><Relationship Id="rId74" Type="http://schemas.openxmlformats.org/officeDocument/2006/relationships/hyperlink" Target="https://www.homedepot.com/p/3M-Clear-Professional-Face-Shield-90028-80025/202195394" TargetMode="External"/><Relationship Id="rId128" Type="http://schemas.openxmlformats.org/officeDocument/2006/relationships/hyperlink" Target="https://www.canadiantire.ca/en/pdp/frank-disposable-vinyl-nitrile-gloves-50-pk-0428456p.html" TargetMode="External"/><Relationship Id="rId149" Type="http://schemas.openxmlformats.org/officeDocument/2006/relationships/hyperlink" Target="https://www.stat.gouv.qc.ca/statistiques/travail-remuneration/remuneration-globale/globale-salaires/emplois-reperes/305empl_an.htm" TargetMode="External"/><Relationship Id="rId5" Type="http://schemas.openxmlformats.org/officeDocument/2006/relationships/hyperlink" Target="https://www.canadiansafetysupplies.com/N95-Particulate-Respirator-3M-p/8511.htm" TargetMode="External"/><Relationship Id="rId95" Type="http://schemas.openxmlformats.org/officeDocument/2006/relationships/hyperlink" Target="https://www.fishersci.ca/shop/products/bd-micro-fine-contact-activated-lancet-3/p-3491417" TargetMode="External"/><Relationship Id="rId160" Type="http://schemas.openxmlformats.org/officeDocument/2006/relationships/hyperlink" Target="https://www.biobasic.com/96-well-plate-viral-dna-miniprep-kit/" TargetMode="External"/><Relationship Id="rId18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2" Type="http://schemas.openxmlformats.org/officeDocument/2006/relationships/hyperlink" Target="https://www.canadiansafetysupplies.com/N95-Particulate-Respirator-3M-p/8511.htm" TargetMode="External"/><Relationship Id="rId43" Type="http://schemas.openxmlformats.org/officeDocument/2006/relationships/hyperlink" Target="http://www.fiqsante.qc.ca/wp-content/uploads/2016/10/Echelles_salariales_Web_2016-2020_FR.pdf?download=1" TargetMode="External"/><Relationship Id="rId64" Type="http://schemas.openxmlformats.org/officeDocument/2006/relationships/hyperlink" Target="https://www.fishersci.ca/shop/products/therapak-corporation-coleman-excursion-handle-coolers-4/22131508" TargetMode="External"/><Relationship Id="rId118" Type="http://schemas.openxmlformats.org/officeDocument/2006/relationships/hyperlink" Target="https://www.canadiansafetysupplies.com/N95-Particulate-Respirator-3M-p/8511.htm" TargetMode="External"/><Relationship Id="rId139" Type="http://schemas.openxmlformats.org/officeDocument/2006/relationships/hyperlink" Target="https://www.stat.gouv.qc.ca/statistiques/travail-remuneration/remuneration-globale/globale-salaires/emplois-reperes/305empl_an.htm" TargetMode="External"/><Relationship Id="rId85" Type="http://schemas.openxmlformats.org/officeDocument/2006/relationships/hyperlink" Target="https://www.grainger.ca/en/product/EAR-LOOP-MASK-BLUE%2CPK-50/p/WWG9E274" TargetMode="External"/><Relationship Id="rId150" Type="http://schemas.openxmlformats.org/officeDocument/2006/relationships/hyperlink" Target="https://www.stat.gouv.qc.ca/statistiques/travail-remuneration/remuneration-globale/globale-salaires/emplois-reperes/305empl_an.htm" TargetMode="External"/><Relationship Id="rId171" Type="http://schemas.openxmlformats.org/officeDocument/2006/relationships/hyperlink" Target="https://www.canadiantire.ca/en/pdp/frank-disposable-vinyl-nitrile-gloves-50-pk-0428456p.html" TargetMode="External"/><Relationship Id="rId192" Type="http://schemas.openxmlformats.org/officeDocument/2006/relationships/hyperlink" Target="https://www.canadiansafetysupplies.com/N95-Particulate-Respirator-3M-p/8511.htm" TargetMode="External"/><Relationship Id="rId12" Type="http://schemas.openxmlformats.org/officeDocument/2006/relationships/hyperlink" Target="https://www.stat.gouv.qc.ca/statistiques/travail-remuneration/remuneration-globale/globale-salaires/emplois-reperes/305empl_an.htm" TargetMode="External"/><Relationship Id="rId33" Type="http://schemas.openxmlformats.org/officeDocument/2006/relationships/hyperlink" Target="https://www.canadiantire.ca/en/pdp/frank-disposable-vinyl-nitrile-gloves-50-pk-0428456p.html" TargetMode="External"/><Relationship Id="rId108" Type="http://schemas.openxmlformats.org/officeDocument/2006/relationships/hyperlink" Target="http://www.fiqsante.qc.ca/wp-content/uploads/2016/10/Echelles_salariales_Web_2016-2020_FR.pdf?download=1" TargetMode="External"/><Relationship Id="rId129" Type="http://schemas.openxmlformats.org/officeDocument/2006/relationships/hyperlink" Target="https://www.canadiantire.ca/en/pdp/frank-disposable-vinyl-nitrile-gloves-50-pk-0428456p.html" TargetMode="External"/><Relationship Id="rId54"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75" Type="http://schemas.openxmlformats.org/officeDocument/2006/relationships/hyperlink" Target="https://www.canadiansafetysupplies.com/N95-Particulate-Respirator-3M-p/8511.htm" TargetMode="External"/><Relationship Id="rId96" Type="http://schemas.openxmlformats.org/officeDocument/2006/relationships/hyperlink" Target="https://www.fishersci.ca/shop/products/bd-micro-fine-contact-activated-lancet-3/p-3491417" TargetMode="External"/><Relationship Id="rId140" Type="http://schemas.openxmlformats.org/officeDocument/2006/relationships/hyperlink" Target="https://neuvoo.ca/salary/?job=Laboratory%20Coordinator" TargetMode="External"/><Relationship Id="rId161" Type="http://schemas.openxmlformats.org/officeDocument/2006/relationships/hyperlink" Target="https://www.biobasic.com/sars-cov-2-covid-19-rt-qpcr-detection-kit/" TargetMode="External"/><Relationship Id="rId182" Type="http://schemas.openxmlformats.org/officeDocument/2006/relationships/hyperlink" Target="https://www.stat.gouv.qc.ca/statistiques/travail-remuneration/remuneration-globale/globale-salaires/emplois-reperes/305empl_an.htm" TargetMode="External"/><Relationship Id="rId6" Type="http://schemas.openxmlformats.org/officeDocument/2006/relationships/hyperlink" Target="https://www.grainger.ca/en/product/EAR-LOOP-MASK-BLUE%2CPK-50/p/WWG9E274" TargetMode="External"/><Relationship Id="rId23" Type="http://schemas.openxmlformats.org/officeDocument/2006/relationships/hyperlink" Target="https://www.biobasic.com/96-well-plate-viral-dna-miniprep-kit/" TargetMode="External"/><Relationship Id="rId119" Type="http://schemas.openxmlformats.org/officeDocument/2006/relationships/hyperlink" Target="https://www.grainger.ca/en/product/EAR-LOOP-MASK-BLUE%2CPK-50/p/WWG9E274" TargetMode="External"/><Relationship Id="rId44"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65" Type="http://schemas.openxmlformats.org/officeDocument/2006/relationships/hyperlink" Target="https://www.fishersci.ca/shop/products/fisherbrand-biohazard-specimen-transport-bags-10/0180004" TargetMode="External"/><Relationship Id="rId86"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30" Type="http://schemas.openxmlformats.org/officeDocument/2006/relationships/hyperlink" Target="https://www.homedepot.com/p/3M-Clear-Professional-Face-Shield-90028-80025/202195394" TargetMode="External"/><Relationship Id="rId151" Type="http://schemas.openxmlformats.org/officeDocument/2006/relationships/hyperlink" Target="https://www.stat.gouv.qc.ca/statistiques/travail-remuneration/remuneration-globale/globale-salaires/emplois-reperes/305empl_an.htm" TargetMode="External"/><Relationship Id="rId172" Type="http://schemas.openxmlformats.org/officeDocument/2006/relationships/hyperlink" Target="https://www.homedepot.com/p/3M-Clear-Professional-Face-Shield-90028-80025/202195394" TargetMode="External"/><Relationship Id="rId193" Type="http://schemas.openxmlformats.org/officeDocument/2006/relationships/hyperlink" Target="https://www.biobasic.com/96-well-plate-viral-dna-miniprep-kit/" TargetMode="External"/><Relationship Id="rId13" Type="http://schemas.openxmlformats.org/officeDocument/2006/relationships/hyperlink" Target="https://www.stat.gouv.qc.ca/statistiques/travail-remuneration/remuneration-globale/globale-salaires/emplois-reperes/305empl_an.htm" TargetMode="External"/><Relationship Id="rId109"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34" Type="http://schemas.openxmlformats.org/officeDocument/2006/relationships/hyperlink" Target="https://www.canadiantire.ca/en/pdp/frank-disposable-vinyl-nitrile-gloves-50-pk-0428456p.html" TargetMode="External"/><Relationship Id="rId50" Type="http://schemas.openxmlformats.org/officeDocument/2006/relationships/hyperlink" Target="https://www.canadiansafetysupplies.com/N95-Particulate-Respirator-3M-p/8511.htm" TargetMode="External"/><Relationship Id="rId55"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76" Type="http://schemas.openxmlformats.org/officeDocument/2006/relationships/hyperlink" Target="https://www.grainger.ca/en/product/EAR-LOOP-MASK-BLUE%2CPK-50/p/WWG9E274" TargetMode="External"/><Relationship Id="rId97" Type="http://schemas.openxmlformats.org/officeDocument/2006/relationships/hyperlink" Target="https://www.fishersci.ca/shop/products/bd-micro-fine-contact-activated-lancet-3/p-3491417" TargetMode="External"/><Relationship Id="rId104"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20"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25" Type="http://schemas.openxmlformats.org/officeDocument/2006/relationships/hyperlink" Target="https://www.stat.gouv.qc.ca/statistiques/travail-remuneration/remuneration-globale/globale-salaires/emplois-reperes/305empl_an.htm" TargetMode="External"/><Relationship Id="rId141"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46" Type="http://schemas.openxmlformats.org/officeDocument/2006/relationships/hyperlink" Target="https://www.biobasic.com/96-well-plate-viral-dna-miniprep-kit/" TargetMode="External"/><Relationship Id="rId167" Type="http://schemas.openxmlformats.org/officeDocument/2006/relationships/hyperlink" Target="https://www.stat.gouv.qc.ca/statistiques/travail-remuneration/remuneration-globale/globale-salaires/emplois-reperes/305empl_an.htm" TargetMode="External"/><Relationship Id="rId188"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7" Type="http://schemas.openxmlformats.org/officeDocument/2006/relationships/hyperlink" Target="http://imt.emploiquebec.gouv.qc.ca/mtg/inter/noncache/contenu/asp/mtg122_sommprofs_01.asp?aprof=3414&amp;PT4=53&amp;lang=ANGL&amp;Porte=1&amp;cregncmp1=QC&amp;ssai=0&amp;motpro=transport+attendant&amp;pro=3414&amp;PT2=21&amp;cregn=QC&amp;PT1=25&amp;type=01&amp;PT3=10" TargetMode="External"/><Relationship Id="rId71" Type="http://schemas.openxmlformats.org/officeDocument/2006/relationships/hyperlink" Target="https://www.ramq.gouv.qc.ca/SiteCollectionDocuments/professionnels/manuels/syra/medecins-specialistes/150-facturation-specialistes/manuel-specialistes-remuneration-acte.html" TargetMode="External"/><Relationship Id="rId92" Type="http://schemas.openxmlformats.org/officeDocument/2006/relationships/hyperlink" Target="https://www.canadiansafetysupplies.com/N95-Particulate-Respirator-3M-p/8511.htm" TargetMode="External"/><Relationship Id="rId16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83" Type="http://schemas.openxmlformats.org/officeDocument/2006/relationships/hyperlink" Target="https://www.stat.gouv.qc.ca/statistiques/travail-remuneration/remuneration-globale/globale-salaires/emplois-reperes/305empl_an.htm" TargetMode="External"/><Relationship Id="rId2" Type="http://schemas.openxmlformats.org/officeDocument/2006/relationships/hyperlink" Target="https://www.canadiantire.ca/en/pdp/frank-disposable-vinyl-nitrile-gloves-50-pk-0428456p.html" TargetMode="External"/><Relationship Id="rId29" Type="http://schemas.openxmlformats.org/officeDocument/2006/relationships/hyperlink" Target="https://www.stat.gouv.qc.ca/statistiques/travail-remuneration/remuneration-globale/globale-salaires/emplois-reperes/305empl_an.htm" TargetMode="External"/><Relationship Id="rId24" Type="http://schemas.openxmlformats.org/officeDocument/2006/relationships/hyperlink" Target="https://www.biobasic.com/sars-cov-2-covid-19-rt-qpcr-detection-kit/" TargetMode="External"/><Relationship Id="rId40" Type="http://schemas.openxmlformats.org/officeDocument/2006/relationships/hyperlink" Target="http://www.fiqsante.qc.ca/wp-content/uploads/2016/10/Echelles_salariales_Web_2016-2020_FR.pdf?download=1" TargetMode="External"/><Relationship Id="rId45"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66" Type="http://schemas.openxmlformats.org/officeDocument/2006/relationships/hyperlink" Target="https://www.uline.ca/Product/Detail/H-1240/Dymo-Label-Printers-and-Labels/Dymo-Labelwriter-450-Printer?pricode=YD413&amp;gadtype=pla&amp;id=H-1240&amp;gclid=CjwKCAjwssD0BRBIEiwA-JP5rPSh55hNV9NcV_w6RdfAhPS6XUlbx18Tidw-r7Cbir42pcA5ShGZDxoCDxAQAvD_BwE&amp;gclsrc=aw.ds" TargetMode="External"/><Relationship Id="rId87" Type="http://schemas.openxmlformats.org/officeDocument/2006/relationships/hyperlink" Target="http://www.fiqsante.qc.ca/wp-content/uploads/2016/10/Echelles_salariales_Web_2016-2020_FR.pdf?download=1" TargetMode="External"/><Relationship Id="rId110" Type="http://schemas.openxmlformats.org/officeDocument/2006/relationships/hyperlink" Target="https://www.canadiantire.ca/en/pdp/frank-disposable-vinyl-nitrile-gloves-50-pk-0428456p.html" TargetMode="External"/><Relationship Id="rId115" Type="http://schemas.openxmlformats.org/officeDocument/2006/relationships/hyperlink" Target="https://www.canadiantire.ca/en/pdp/frank-disposable-vinyl-nitrile-gloves-50-pk-0428456p.html" TargetMode="External"/><Relationship Id="rId131" Type="http://schemas.openxmlformats.org/officeDocument/2006/relationships/hyperlink" Target="https://www.canadiansafetysupplies.com/N95-Particulate-Respirator-3M-p/8511.htm" TargetMode="External"/><Relationship Id="rId136" Type="http://schemas.openxmlformats.org/officeDocument/2006/relationships/hyperlink" Target="https://www.stat.gouv.qc.ca/statistiques/travail-remuneration/remuneration-globale/globale-salaires/emplois-reperes/305empl_an.htm" TargetMode="External"/><Relationship Id="rId157" Type="http://schemas.openxmlformats.org/officeDocument/2006/relationships/hyperlink" Target="https://www.canadiantire.ca/en/pdp/frank-disposable-vinyl-nitrile-gloves-50-pk-0428456p.html" TargetMode="External"/><Relationship Id="rId178" Type="http://schemas.openxmlformats.org/officeDocument/2006/relationships/hyperlink" Target="https://www.fishersci.ca/shop/products/fisherbrand-biohazard-specimen-transport-bags-10/0180004" TargetMode="External"/><Relationship Id="rId61" Type="http://schemas.openxmlformats.org/officeDocument/2006/relationships/hyperlink" Target="https://www.grainger.ca/en/product/EAR-LOOP-MASK-BLUE%2CPK-50/p/WWG9E274" TargetMode="External"/><Relationship Id="rId82" Type="http://schemas.openxmlformats.org/officeDocument/2006/relationships/hyperlink" Target="https://www.canadiantire.ca/en/pdp/frank-disposable-vinyl-nitrile-gloves-50-pk-0428456p.html" TargetMode="External"/><Relationship Id="rId152" Type="http://schemas.openxmlformats.org/officeDocument/2006/relationships/hyperlink" Target="https://www.stat.gouv.qc.ca/statistiques/travail-remuneration/remuneration-globale/globale-salaires/emplois-reperes/305empl_an.htm" TargetMode="External"/><Relationship Id="rId173" Type="http://schemas.openxmlformats.org/officeDocument/2006/relationships/hyperlink" Target="https://www.canadiansafetysupplies.com/N95-Particulate-Respirator-3M-p/8511.htm" TargetMode="External"/><Relationship Id="rId194" Type="http://schemas.openxmlformats.org/officeDocument/2006/relationships/vmlDrawing" Target="../drawings/vmlDrawing2.vml"/><Relationship Id="rId19" Type="http://schemas.openxmlformats.org/officeDocument/2006/relationships/hyperlink" Target="https://www.canadiantire.ca/en/pdp/frank-disposable-vinyl-nitrile-gloves-50-pk-0428456p.html" TargetMode="External"/><Relationship Id="rId14" Type="http://schemas.openxmlformats.org/officeDocument/2006/relationships/hyperlink" Target="https://www.stat.gouv.qc.ca/statistiques/travail-remuneration/remuneration-globale/globale-salaires/emplois-reperes/305empl_an.htm" TargetMode="External"/><Relationship Id="rId30" Type="http://schemas.openxmlformats.org/officeDocument/2006/relationships/hyperlink" Target="https://www.stat.gouv.qc.ca/statistiques/travail-remuneration/remuneration-globale/globale-salaires/emplois-reperes/305empl_an.htm" TargetMode="External"/><Relationship Id="rId35" Type="http://schemas.openxmlformats.org/officeDocument/2006/relationships/hyperlink" Target="https://www.homedepot.com/p/3M-Clear-Professional-Face-Shield-90028-80025/202195394" TargetMode="External"/><Relationship Id="rId56" Type="http://schemas.openxmlformats.org/officeDocument/2006/relationships/hyperlink" Target="https://www.stat.gouv.qc.ca/statistiques/travail-remuneration/remuneration-globale/globale-salaires/emplois-reperes/305empl_an.htm" TargetMode="External"/><Relationship Id="rId77" Type="http://schemas.openxmlformats.org/officeDocument/2006/relationships/hyperlink" Target="https://www.uline.ca/Product/Detail/H-1240/Dymo-Label-Printers-and-Labels/Dymo-Labelwriter-450-Printer?pricode=YD413&amp;gadtype=pla&amp;id=H-1240&amp;gclid=CjwKCAjwssD0BRBIEiwA-JP5rPSh55hNV9NcV_w6RdfAhPS6XUlbx18Tidw-r7Cbir42pcA5ShGZDxoCDxAQAvD_BwE&amp;gclsrc=aw.ds" TargetMode="External"/><Relationship Id="rId100" Type="http://schemas.openxmlformats.org/officeDocument/2006/relationships/hyperlink" Target="https://www.fishersci.ca/shop/products/bd-micro-fine-contact-activated-lancet-3/p-3491417" TargetMode="External"/><Relationship Id="rId105" Type="http://schemas.openxmlformats.org/officeDocument/2006/relationships/hyperlink" Target="http://www.fiqsante.qc.ca/wp-content/uploads/2016/10/Echelles_salariales_Web_2016-2020_FR.pdf?download=1" TargetMode="External"/><Relationship Id="rId126" Type="http://schemas.openxmlformats.org/officeDocument/2006/relationships/hyperlink" Target="https://neuvoo.ca/salary/?job=Laboratory%20Coordinator" TargetMode="External"/><Relationship Id="rId147" Type="http://schemas.openxmlformats.org/officeDocument/2006/relationships/hyperlink" Target="https://www.biobasic.com/sars-cov-2-covid-19-rt-qpcr-detection-kit/" TargetMode="External"/><Relationship Id="rId168" Type="http://schemas.openxmlformats.org/officeDocument/2006/relationships/hyperlink" Target="https://neuvoo.ca/salary/?job=Laboratory%20Coordinator" TargetMode="External"/><Relationship Id="rId8" Type="http://schemas.openxmlformats.org/officeDocument/2006/relationships/hyperlink" Target="https://www.caaquebec.com/en/on-the-road/public-interest/gasoline-matters/gasoline-watch/" TargetMode="External"/><Relationship Id="rId51" Type="http://schemas.openxmlformats.org/officeDocument/2006/relationships/hyperlink" Target="https://www.grainger.ca/en/product/EAR-LOOP-MASK-BLUE%2CPK-50/p/WWG9E274" TargetMode="External"/><Relationship Id="rId72" Type="http://schemas.openxmlformats.org/officeDocument/2006/relationships/hyperlink" Target="https://www.canadiantire.ca/en/pdp/frank-disposable-vinyl-nitrile-gloves-50-pk-0428456p.html" TargetMode="External"/><Relationship Id="rId93" Type="http://schemas.openxmlformats.org/officeDocument/2006/relationships/hyperlink" Target="https://www.grainger.ca/en/product/EAR-LOOP-MASK-BLUE%2CPK-50/p/WWG9E274" TargetMode="External"/><Relationship Id="rId98" Type="http://schemas.openxmlformats.org/officeDocument/2006/relationships/hyperlink" Target="https://www.fishersci.ca/shop/products/bd-micro-fine-contact-activated-lancet-3/p-3491417" TargetMode="External"/><Relationship Id="rId121" Type="http://schemas.openxmlformats.org/officeDocument/2006/relationships/hyperlink" Target="https://www.stat.gouv.qc.ca/statistiques/travail-remuneration/remuneration-globale/globale-salaires/emplois-reperes/305empl_an.htm" TargetMode="External"/><Relationship Id="rId142" Type="http://schemas.openxmlformats.org/officeDocument/2006/relationships/hyperlink" Target="https://www.canadiantire.ca/en/pdp/frank-disposable-vinyl-nitrile-gloves-50-pk-0428456p.html" TargetMode="External"/><Relationship Id="rId163" Type="http://schemas.openxmlformats.org/officeDocument/2006/relationships/hyperlink" Target="https://www.stat.gouv.qc.ca/statistiques/travail-remuneration/remuneration-globale/globale-salaires/emplois-reperes/305empl_an.htm" TargetMode="External"/><Relationship Id="rId184" Type="http://schemas.openxmlformats.org/officeDocument/2006/relationships/hyperlink" Target="https://www.thermofisher.com/us/en/home/references/protocols/cell-and-tissue-analysis/elisa-protocol/general-elisa-protocol.html" TargetMode="External"/><Relationship Id="rId189" Type="http://schemas.openxmlformats.org/officeDocument/2006/relationships/hyperlink" Target="https://www.canadiantire.ca/en/pdp/frank-disposable-vinyl-nitrile-gloves-50-pk-0428456p.html" TargetMode="External"/><Relationship Id="rId3" Type="http://schemas.openxmlformats.org/officeDocument/2006/relationships/hyperlink" Target="https://www.canadiantire.ca/en/pdp/frank-disposable-vinyl-nitrile-gloves-50-pk-0428456p.html" TargetMode="External"/><Relationship Id="rId2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46" Type="http://schemas.openxmlformats.org/officeDocument/2006/relationships/hyperlink" Target="https://www.stat.gouv.qc.ca/statistiques/travail-remuneration/remuneration-globale/globale-salaires/emplois-reperes/305empl_an.htm" TargetMode="External"/><Relationship Id="rId67" Type="http://schemas.openxmlformats.org/officeDocument/2006/relationships/hyperlink" Target="http://www.fiqsante.qc.ca/wp-content/uploads/2016/10/Echelles_salariales_Web_2016-2020_FR.pdf?download=1" TargetMode="External"/><Relationship Id="rId116" Type="http://schemas.openxmlformats.org/officeDocument/2006/relationships/hyperlink" Target="https://www.canadiantire.ca/en/pdp/frank-disposable-vinyl-nitrile-gloves-50-pk-0428456p.html" TargetMode="External"/><Relationship Id="rId137" Type="http://schemas.openxmlformats.org/officeDocument/2006/relationships/hyperlink" Target="https://www.stat.gouv.qc.ca/statistiques/travail-remuneration/remuneration-globale/globale-salaires/emplois-reperes/305empl_an.htm" TargetMode="External"/><Relationship Id="rId158" Type="http://schemas.openxmlformats.org/officeDocument/2006/relationships/hyperlink" Target="https://www.homedepot.com/p/3M-Clear-Professional-Face-Shield-90028-80025/202195394" TargetMode="External"/><Relationship Id="rId20" Type="http://schemas.openxmlformats.org/officeDocument/2006/relationships/hyperlink" Target="https://www.canadiantire.ca/en/pdp/frank-disposable-vinyl-nitrile-gloves-50-pk-0428456p.html" TargetMode="External"/><Relationship Id="rId41" Type="http://schemas.openxmlformats.org/officeDocument/2006/relationships/hyperlink" Target="http://www.fiqsante.qc.ca/wp-content/uploads/2016/10/Echelles_salariales_Web_2016-2020_FR.pdf?download=1" TargetMode="External"/><Relationship Id="rId62" Type="http://schemas.openxmlformats.org/officeDocument/2006/relationships/hyperlink" Target="http://imt.emploiquebec.gouv.qc.ca/mtg/inter/noncache/contenu/asp/mtg122_sommprofs_01.asp?aprof=3414&amp;PT4=53&amp;lang=ANGL&amp;Porte=1&amp;cregncmp1=QC&amp;ssai=0&amp;motpro=transport+attendant&amp;pro=3414&amp;PT2=21&amp;cregn=QC&amp;PT1=25&amp;type=01&amp;PT3=10" TargetMode="External"/><Relationship Id="rId83" Type="http://schemas.openxmlformats.org/officeDocument/2006/relationships/hyperlink" Target="https://www.homedepot.com/p/3M-Clear-Professional-Face-Shield-90028-80025/202195394" TargetMode="External"/><Relationship Id="rId88" Type="http://schemas.openxmlformats.org/officeDocument/2006/relationships/hyperlink" Target="https://www.stat.gouv.qc.ca/statistiques/travail-remuneration/remuneration-globale/globale-salaires/emplois-reperes/305empl_an.htm" TargetMode="External"/><Relationship Id="rId111" Type="http://schemas.openxmlformats.org/officeDocument/2006/relationships/hyperlink" Target="https://www.canadiantire.ca/en/pdp/frank-disposable-vinyl-nitrile-gloves-50-pk-0428456p.html" TargetMode="External"/><Relationship Id="rId132" Type="http://schemas.openxmlformats.org/officeDocument/2006/relationships/hyperlink" Target="https://www.biobasic.com/96-well-plate-viral-dna-miniprep-kit/" TargetMode="External"/><Relationship Id="rId153" Type="http://schemas.openxmlformats.org/officeDocument/2006/relationships/hyperlink" Target="https://www.stat.gouv.qc.ca/statistiques/travail-remuneration/remuneration-globale/globale-salaires/emplois-reperes/305empl_an.htm" TargetMode="External"/><Relationship Id="rId174" Type="http://schemas.openxmlformats.org/officeDocument/2006/relationships/hyperlink" Target="https://www.biobasic.com/96-well-plate-viral-dna-miniprep-kit/" TargetMode="External"/><Relationship Id="rId179" Type="http://schemas.openxmlformats.org/officeDocument/2006/relationships/hyperlink" Target="https://www.fishersci.ca/shop/products/therapak-corporation-coleman-excursion-handle-coolers-4/22131508" TargetMode="External"/><Relationship Id="rId195" Type="http://schemas.openxmlformats.org/officeDocument/2006/relationships/comments" Target="../comments2.xml"/><Relationship Id="rId190" Type="http://schemas.openxmlformats.org/officeDocument/2006/relationships/hyperlink" Target="https://www.canadiantire.ca/en/pdp/frank-disposable-vinyl-nitrile-gloves-50-pk-0428456p.html" TargetMode="External"/><Relationship Id="rId15" Type="http://schemas.openxmlformats.org/officeDocument/2006/relationships/hyperlink" Target="https://www.stat.gouv.qc.ca/statistiques/travail-remuneration/remuneration-globale/globale-salaires/emplois-reperes/305empl_an.htm" TargetMode="External"/><Relationship Id="rId36" Type="http://schemas.openxmlformats.org/officeDocument/2006/relationships/hyperlink" Target="https://www.canadiansafetysupplies.com/N95-Particulate-Respirator-3M-p/8511.htm" TargetMode="External"/><Relationship Id="rId57" Type="http://schemas.openxmlformats.org/officeDocument/2006/relationships/hyperlink" Target="https://www.canadiantire.ca/en/pdp/frank-disposable-vinyl-nitrile-gloves-50-pk-0428456p.html" TargetMode="External"/><Relationship Id="rId106"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27"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0" Type="http://schemas.openxmlformats.org/officeDocument/2006/relationships/hyperlink" Target="https://www.fishersci.ca/shop/products/fisherbrand-biohazard-specimen-transport-bags-10/0180004" TargetMode="External"/><Relationship Id="rId31" Type="http://schemas.openxmlformats.org/officeDocument/2006/relationships/hyperlink" Target="https://neuvoo.ca/salary/?job=Laboratory%20Coordinator" TargetMode="External"/><Relationship Id="rId5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73" Type="http://schemas.openxmlformats.org/officeDocument/2006/relationships/hyperlink" Target="https://www.canadiantire.ca/en/pdp/frank-disposable-vinyl-nitrile-gloves-50-pk-0428456p.html" TargetMode="External"/><Relationship Id="rId78"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94" Type="http://schemas.openxmlformats.org/officeDocument/2006/relationships/hyperlink" Target="https://www.fishersci.ca/shop/products/bd-micro-fine-contact-activated-lancet-3/p-3491417" TargetMode="External"/><Relationship Id="rId99" Type="http://schemas.openxmlformats.org/officeDocument/2006/relationships/hyperlink" Target="https://www.fishersci.ca/shop/products/bd-micro-fine-contact-activated-lancet-3/p-3491417" TargetMode="External"/><Relationship Id="rId101" Type="http://schemas.openxmlformats.org/officeDocument/2006/relationships/hyperlink" Target="https://www.fishersci.ca/shop/products/bd-micro-fine-contact-activated-lancet-3/p-3491417" TargetMode="External"/><Relationship Id="rId122" Type="http://schemas.openxmlformats.org/officeDocument/2006/relationships/hyperlink" Target="https://www.stat.gouv.qc.ca/statistiques/travail-remuneration/remuneration-globale/globale-salaires/emplois-reperes/305empl_an.htm" TargetMode="External"/><Relationship Id="rId143" Type="http://schemas.openxmlformats.org/officeDocument/2006/relationships/hyperlink" Target="https://www.canadiantire.ca/en/pdp/frank-disposable-vinyl-nitrile-gloves-50-pk-0428456p.html" TargetMode="External"/><Relationship Id="rId148"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64" Type="http://schemas.openxmlformats.org/officeDocument/2006/relationships/hyperlink" Target="https://www.stat.gouv.qc.ca/statistiques/travail-remuneration/remuneration-globale/globale-salaires/emplois-reperes/305empl_an.htm" TargetMode="External"/><Relationship Id="rId169"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85" Type="http://schemas.openxmlformats.org/officeDocument/2006/relationships/hyperlink" Target="https://www.roche.com/media/releases/med-cor-2020-04-17.htm" TargetMode="External"/><Relationship Id="rId4" Type="http://schemas.openxmlformats.org/officeDocument/2006/relationships/hyperlink" Target="https://www.homedepot.com/p/3M-Clear-Professional-Face-Shield-90028-80025/202195394" TargetMode="External"/><Relationship Id="rId9" Type="http://schemas.openxmlformats.org/officeDocument/2006/relationships/hyperlink" Target="https://www.fishersci.ca/shop/products/therapak-corporation-coleman-excursion-handle-coolers-4/22131508" TargetMode="External"/><Relationship Id="rId180" Type="http://schemas.openxmlformats.org/officeDocument/2006/relationships/hyperlink" Target="https://www.fishersci.ca/shop/products/fisherbrand-biohazard-specimen-transport-bags-10/0180004" TargetMode="External"/><Relationship Id="rId26" Type="http://schemas.openxmlformats.org/officeDocument/2006/relationships/hyperlink" Target="https://www.stat.gouv.qc.ca/statistiques/travail-remuneration/remuneration-globale/globale-salaires/emplois-reperes/305empl_an.htm" TargetMode="External"/><Relationship Id="rId47" Type="http://schemas.openxmlformats.org/officeDocument/2006/relationships/hyperlink" Target="https://www.canadiantire.ca/en/pdp/frank-disposable-vinyl-nitrile-gloves-50-pk-0428456p.html" TargetMode="External"/><Relationship Id="rId68" Type="http://schemas.openxmlformats.org/officeDocument/2006/relationships/hyperlink" Target="http://www.fiqsante.qc.ca/wp-content/uploads/2016/10/Echelles_salariales_Web_2016-2020_FR.pdf?download=1" TargetMode="External"/><Relationship Id="rId89" Type="http://schemas.openxmlformats.org/officeDocument/2006/relationships/hyperlink" Target="https://www.canadiantire.ca/en/pdp/frank-disposable-vinyl-nitrile-gloves-50-pk-0428456p.html" TargetMode="External"/><Relationship Id="rId112" Type="http://schemas.openxmlformats.org/officeDocument/2006/relationships/hyperlink" Target="https://www.homedepot.com/p/3M-Clear-Professional-Face-Shield-90028-80025/202195394" TargetMode="External"/><Relationship Id="rId133" Type="http://schemas.openxmlformats.org/officeDocument/2006/relationships/hyperlink" Target="https://www.biobasic.com/sars-cov-2-covid-19-rt-qpcr-detection-kit/" TargetMode="External"/><Relationship Id="rId154" Type="http://schemas.openxmlformats.org/officeDocument/2006/relationships/hyperlink" Target="https://neuvoo.ca/salary/?job=Laboratory%20Coordinator" TargetMode="External"/><Relationship Id="rId175" Type="http://schemas.openxmlformats.org/officeDocument/2006/relationships/hyperlink" Target="https://www.biobasic.com/sars-cov-2-covid-19-rt-qpcr-detection-kit/" TargetMode="External"/><Relationship Id="rId196" Type="http://schemas.microsoft.com/office/2017/10/relationships/threadedComment" Target="../threadedComments/threadedComment2.xml"/><Relationship Id="rId16" Type="http://schemas.openxmlformats.org/officeDocument/2006/relationships/hyperlink" Target="https://www.stat.gouv.qc.ca/statistiques/travail-remuneration/remuneration-globale/globale-salaires/emplois-reperes/305empl_an.htm" TargetMode="External"/><Relationship Id="rId37" Type="http://schemas.openxmlformats.org/officeDocument/2006/relationships/hyperlink" Target="https://www.biobasic.com/96-well-plate-viral-dna-miniprep-kit/" TargetMode="External"/><Relationship Id="rId58" Type="http://schemas.openxmlformats.org/officeDocument/2006/relationships/hyperlink" Target="https://www.canadiantire.ca/en/pdp/frank-disposable-vinyl-nitrile-gloves-50-pk-0428456p.html" TargetMode="External"/><Relationship Id="rId79" Type="http://schemas.openxmlformats.org/officeDocument/2006/relationships/hyperlink" Target="http://www.fiqsante.qc.ca/wp-content/uploads/2016/10/Echelles_salariales_Web_2016-2020_FR.pdf?download=1" TargetMode="External"/><Relationship Id="rId102" Type="http://schemas.openxmlformats.org/officeDocument/2006/relationships/hyperlink" Target="http://www.fiqsante.qc.ca/wp-content/uploads/2016/10/Echelles_salariales_Web_2016-2020_FR.pdf?download=1" TargetMode="External"/><Relationship Id="rId123" Type="http://schemas.openxmlformats.org/officeDocument/2006/relationships/hyperlink" Target="https://www.stat.gouv.qc.ca/statistiques/travail-remuneration/remuneration-globale/globale-salaires/emplois-reperes/305empl_an.htm" TargetMode="External"/><Relationship Id="rId144" Type="http://schemas.openxmlformats.org/officeDocument/2006/relationships/hyperlink" Target="https://www.homedepot.com/p/3M-Clear-Professional-Face-Shield-90028-80025/202195394" TargetMode="External"/><Relationship Id="rId90" Type="http://schemas.openxmlformats.org/officeDocument/2006/relationships/hyperlink" Target="https://www.canadiantire.ca/en/pdp/frank-disposable-vinyl-nitrile-gloves-50-pk-0428456p.html" TargetMode="External"/><Relationship Id="rId165" Type="http://schemas.openxmlformats.org/officeDocument/2006/relationships/hyperlink" Target="https://www.stat.gouv.qc.ca/statistiques/travail-remuneration/remuneration-globale/globale-salaires/emplois-reperes/305empl_an.htm" TargetMode="External"/><Relationship Id="rId186" Type="http://schemas.openxmlformats.org/officeDocument/2006/relationships/hyperlink" Target="https://www.stat.gouv.qc.ca/statistiques/travail-remuneration/remuneration-globale/globale-salaires/emplois-reperes/305empl_an.htm" TargetMode="External"/><Relationship Id="rId27" Type="http://schemas.openxmlformats.org/officeDocument/2006/relationships/hyperlink" Target="https://www.stat.gouv.qc.ca/statistiques/travail-remuneration/remuneration-globale/globale-salaires/emplois-reperes/305empl_an.htm" TargetMode="External"/><Relationship Id="rId48" Type="http://schemas.openxmlformats.org/officeDocument/2006/relationships/hyperlink" Target="https://www.canadiantire.ca/en/pdp/frank-disposable-vinyl-nitrile-gloves-50-pk-0428456p.html" TargetMode="External"/><Relationship Id="rId69"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13" Type="http://schemas.openxmlformats.org/officeDocument/2006/relationships/hyperlink" Target="https://www.canadiansafetysupplies.com/N95-Particulate-Respirator-3M-p/8511.htm" TargetMode="External"/><Relationship Id="rId134"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80" Type="http://schemas.openxmlformats.org/officeDocument/2006/relationships/hyperlink" Target="https://www.stat.gouv.qc.ca/statistiques/travail-remuneration/remuneration-globale/globale-salaires/emplois-reperes/305empl_an.htm" TargetMode="External"/><Relationship Id="rId155"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76" Type="http://schemas.openxmlformats.org/officeDocument/2006/relationships/hyperlink" Target="https://www.fishersci.ca/shop/products/sarstedt-salivette-cotton-swab-saliva-collection/50809199" TargetMode="External"/><Relationship Id="rId17" Type="http://schemas.openxmlformats.org/officeDocument/2006/relationships/hyperlink" Target="https://neuvoo.ca/salary/?job=Laboratory%20Coordinator" TargetMode="External"/><Relationship Id="rId38" Type="http://schemas.openxmlformats.org/officeDocument/2006/relationships/hyperlink" Target="https://www.biobasic.com/sars-cov-2-covid-19-rt-qpcr-detection-kit/" TargetMode="External"/><Relationship Id="rId59" Type="http://schemas.openxmlformats.org/officeDocument/2006/relationships/hyperlink" Target="https://www.homedepot.com/p/3M-Clear-Professional-Face-Shield-90028-80025/202195394" TargetMode="External"/><Relationship Id="rId103" Type="http://schemas.openxmlformats.org/officeDocument/2006/relationships/hyperlink" Target="http://www.fiqsante.qc.ca/wp-content/uploads/2016/10/Echelles_salariales_Web_2016-2020_FR.pdf?download=1" TargetMode="External"/><Relationship Id="rId124" Type="http://schemas.openxmlformats.org/officeDocument/2006/relationships/hyperlink" Target="https://www.stat.gouv.qc.ca/statistiques/travail-remuneration/remuneration-globale/globale-salaires/emplois-reperes/305empl_an.htm" TargetMode="External"/><Relationship Id="rId70" Type="http://schemas.openxmlformats.org/officeDocument/2006/relationships/hyperlink" Target="http://imt.emploiquebec.gouv.qc.ca/mtg/inter/noncache/contenu/asp/mtg122_sommprofs_01.asp?aprof=1223&amp;PT4=53&amp;motpro=Human+resources&amp;lang=ANGL&amp;Porte=1&amp;cregncmp1=QC&amp;ssai=0&amp;pro=1223&amp;PT2=21&amp;cregn=QC&amp;PT1=25&amp;type=01&amp;PT3=10" TargetMode="External"/><Relationship Id="rId91" Type="http://schemas.openxmlformats.org/officeDocument/2006/relationships/hyperlink" Target="https://www.homedepot.com/p/3M-Clear-Professional-Face-Shield-90028-80025/202195394" TargetMode="External"/><Relationship Id="rId145" Type="http://schemas.openxmlformats.org/officeDocument/2006/relationships/hyperlink" Target="https://www.canadiansafetysupplies.com/N95-Particulate-Respirator-3M-p/8511.htm" TargetMode="External"/><Relationship Id="rId166" Type="http://schemas.openxmlformats.org/officeDocument/2006/relationships/hyperlink" Target="https://www.stat.gouv.qc.ca/statistiques/travail-remuneration/remuneration-globale/globale-salaires/emplois-reperes/305empl_an.htm" TargetMode="External"/><Relationship Id="rId187" Type="http://schemas.openxmlformats.org/officeDocument/2006/relationships/hyperlink" Target="https://neuvoo.ca/salary/?job=Laboratory%20Coordinator" TargetMode="External"/><Relationship Id="rId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8" Type="http://schemas.openxmlformats.org/officeDocument/2006/relationships/hyperlink" Target="https://www.stat.gouv.qc.ca/statistiques/travail-remuneration/remuneration-globale/globale-salaires/emplois-reperes/305empl_an.htm" TargetMode="External"/><Relationship Id="rId49" Type="http://schemas.openxmlformats.org/officeDocument/2006/relationships/hyperlink" Target="https://www.homedepot.com/p/3M-Clear-Professional-Face-Shield-90028-80025/202195394" TargetMode="External"/><Relationship Id="rId114" Type="http://schemas.openxmlformats.org/officeDocument/2006/relationships/hyperlink" Target="https://www.grainger.ca/en/product/EAR-LOOP-MASK-BLUE%2CPK-50/p/WWG9E274" TargetMode="External"/><Relationship Id="rId60" Type="http://schemas.openxmlformats.org/officeDocument/2006/relationships/hyperlink" Target="https://www.canadiansafetysupplies.com/N95-Particulate-Respirator-3M-p/8511.htm" TargetMode="External"/><Relationship Id="rId81" Type="http://schemas.openxmlformats.org/officeDocument/2006/relationships/hyperlink" Target="https://www.canadiantire.ca/en/pdp/frank-disposable-vinyl-nitrile-gloves-50-pk-0428456p.html" TargetMode="External"/><Relationship Id="rId135" Type="http://schemas.openxmlformats.org/officeDocument/2006/relationships/hyperlink" Target="https://www.stat.gouv.qc.ca/statistiques/travail-remuneration/remuneration-globale/globale-salaires/emplois-reperes/305empl_an.htm" TargetMode="External"/><Relationship Id="rId156" Type="http://schemas.openxmlformats.org/officeDocument/2006/relationships/hyperlink" Target="https://www.canadiantire.ca/en/pdp/frank-disposable-vinyl-nitrile-gloves-50-pk-0428456p.html" TargetMode="External"/><Relationship Id="rId177" Type="http://schemas.openxmlformats.org/officeDocument/2006/relationships/hyperlink" Target="https://www.fishersci.ca/shop/products/therapak-corporation-coleman-excursion-handle-coolers-4/22131508" TargetMode="External"/><Relationship Id="rId18"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39"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s>
</file>

<file path=xl/worksheets/_rels/sheet7.xml.rels><?xml version="1.0" encoding="UTF-8" standalone="yes"?>
<Relationships xmlns="http://schemas.openxmlformats.org/package/2006/relationships"><Relationship Id="rId117" Type="http://schemas.openxmlformats.org/officeDocument/2006/relationships/hyperlink" Target="http://www.fiqsante.qc.ca/wp-content/uploads/2016/10/Echelles_salariales_Web_2016-2020_FR.pdf?download=1" TargetMode="External"/><Relationship Id="rId21" Type="http://schemas.openxmlformats.org/officeDocument/2006/relationships/hyperlink" Target="https://www.homedepot.com/p/3M-Clear-Professional-Face-Shield-90028-80025/202195394" TargetMode="External"/><Relationship Id="rId42"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63" Type="http://schemas.openxmlformats.org/officeDocument/2006/relationships/hyperlink" Target="https://www.uline.ca/Product/Detail/H-1240/Dymo-Label-Printers-and-Labels/Dymo-Labelwriter-450-Printer?pricode=YD413&amp;gadtype=pla&amp;id=H-1240&amp;gclid=CjwKCAjwssD0BRBIEiwA-JP5rPSh55hNV9NcV_w6RdfAhPS6XUlbx18Tidw-r7Cbir42pcA5ShGZDxoCDxAQAvD_BwE&amp;gclsrc=aw.ds" TargetMode="External"/><Relationship Id="rId84" Type="http://schemas.openxmlformats.org/officeDocument/2006/relationships/hyperlink" Target="https://www.canadiantire.ca/en/pdp/frank-disposable-vinyl-nitrile-gloves-50-pk-0428456p.html" TargetMode="External"/><Relationship Id="rId138" Type="http://schemas.openxmlformats.org/officeDocument/2006/relationships/hyperlink" Target="https://www.stat.gouv.qc.ca/statistiques/travail-remuneration/remuneration-globale/globale-salaires/emplois-reperes/305empl_an.htm" TargetMode="External"/><Relationship Id="rId159" Type="http://schemas.openxmlformats.org/officeDocument/2006/relationships/hyperlink" Target="https://www.homedepot.com/p/3M-Clear-Professional-Face-Shield-90028-80025/202195394" TargetMode="External"/><Relationship Id="rId170"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91" Type="http://schemas.openxmlformats.org/officeDocument/2006/relationships/hyperlink" Target="https://www.homedepot.com/p/3M-Clear-Professional-Face-Shield-90028-80025/202195394" TargetMode="External"/><Relationship Id="rId107" Type="http://schemas.openxmlformats.org/officeDocument/2006/relationships/hyperlink" Target="https://www.canadiantire.ca/en/pdp/frank-disposable-vinyl-nitrile-gloves-50-pk-0428456p.html" TargetMode="External"/><Relationship Id="rId1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32"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53" Type="http://schemas.openxmlformats.org/officeDocument/2006/relationships/hyperlink" Target="https://www.stat.gouv.qc.ca/statistiques/travail-remuneration/remuneration-globale/globale-salaires/emplois-reperes/305empl_an.htm" TargetMode="External"/><Relationship Id="rId74" Type="http://schemas.openxmlformats.org/officeDocument/2006/relationships/hyperlink" Target="https://www.stat.gouv.qc.ca/statistiques/travail-remuneration/remuneration-globale/globale-salaires/emplois-reperes/305empl_an.htm" TargetMode="External"/><Relationship Id="rId128"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49"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5" Type="http://schemas.openxmlformats.org/officeDocument/2006/relationships/hyperlink" Target="https://www.canadiansafetysupplies.com/N95-Particulate-Respirator-3M-p/8511.htm" TargetMode="External"/><Relationship Id="rId95" Type="http://schemas.openxmlformats.org/officeDocument/2006/relationships/hyperlink" Target="https://www.fishersci.ca/shop/products/bd-micro-fine-contact-activated-lancet-3/p-3491417" TargetMode="External"/><Relationship Id="rId160" Type="http://schemas.openxmlformats.org/officeDocument/2006/relationships/hyperlink" Target="https://www.canadiansafetysupplies.com/N95-Particulate-Respirator-3M-p/8511.htm" TargetMode="External"/><Relationship Id="rId18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2" Type="http://schemas.openxmlformats.org/officeDocument/2006/relationships/hyperlink" Target="https://www.canadiansafetysupplies.com/N95-Particulate-Respirator-3M-p/8511.htm" TargetMode="External"/><Relationship Id="rId43" Type="http://schemas.openxmlformats.org/officeDocument/2006/relationships/hyperlink" Target="https://www.stat.gouv.qc.ca/statistiques/travail-remuneration/remuneration-globale/globale-salaires/emplois-reperes/305empl_an.htm" TargetMode="External"/><Relationship Id="rId64" Type="http://schemas.openxmlformats.org/officeDocument/2006/relationships/hyperlink" Target="http://imt.emploiquebec.gouv.qc.ca/mtg/inter/noncache/contenu/asp/mtg122_sommprofs_01.asp?aprof=1223&amp;PT4=53&amp;motpro=Human+resources&amp;lang=ANGL&amp;Porte=1&amp;cregncmp1=QC&amp;ssai=0&amp;pro=1223&amp;PT2=21&amp;cregn=QC&amp;PT1=25&amp;type=01&amp;PT3=10" TargetMode="External"/><Relationship Id="rId118" Type="http://schemas.openxmlformats.org/officeDocument/2006/relationships/hyperlink" Target="http://www.fiqsante.qc.ca/wp-content/uploads/2016/10/Echelles_salariales_Web_2016-2020_FR.pdf?download=1" TargetMode="External"/><Relationship Id="rId139" Type="http://schemas.openxmlformats.org/officeDocument/2006/relationships/hyperlink" Target="https://www.stat.gouv.qc.ca/statistiques/travail-remuneration/remuneration-globale/globale-salaires/emplois-reperes/305empl_an.htm" TargetMode="External"/><Relationship Id="rId85" Type="http://schemas.openxmlformats.org/officeDocument/2006/relationships/hyperlink" Target="https://www.homedepot.com/p/3M-Clear-Professional-Face-Shield-90028-80025/202195394" TargetMode="External"/><Relationship Id="rId150" Type="http://schemas.openxmlformats.org/officeDocument/2006/relationships/hyperlink" Target="https://www.stat.gouv.qc.ca/statistiques/travail-remuneration/remuneration-globale/globale-salaires/emplois-reperes/305empl_an.htm" TargetMode="External"/><Relationship Id="rId171" Type="http://schemas.openxmlformats.org/officeDocument/2006/relationships/hyperlink" Target="https://www.canadiantire.ca/en/pdp/frank-disposable-vinyl-nitrile-gloves-50-pk-0428456p.html" TargetMode="External"/><Relationship Id="rId192" Type="http://schemas.openxmlformats.org/officeDocument/2006/relationships/hyperlink" Target="https://www.canadiansafetysupplies.com/N95-Particulate-Respirator-3M-p/8511.htm" TargetMode="External"/><Relationship Id="rId12" Type="http://schemas.openxmlformats.org/officeDocument/2006/relationships/hyperlink" Target="https://www.stat.gouv.qc.ca/statistiques/travail-remuneration/remuneration-globale/globale-salaires/emplois-reperes/305empl_an.htm" TargetMode="External"/><Relationship Id="rId33" Type="http://schemas.openxmlformats.org/officeDocument/2006/relationships/hyperlink" Target="https://www.canadiantire.ca/en/pdp/frank-disposable-vinyl-nitrile-gloves-50-pk-0428456p.html" TargetMode="External"/><Relationship Id="rId108" Type="http://schemas.openxmlformats.org/officeDocument/2006/relationships/hyperlink" Target="https://www.canadiantire.ca/en/pdp/frank-disposable-vinyl-nitrile-gloves-50-pk-0428456p.html" TargetMode="External"/><Relationship Id="rId129" Type="http://schemas.openxmlformats.org/officeDocument/2006/relationships/hyperlink" Target="https://www.canadiantire.ca/en/pdp/frank-disposable-vinyl-nitrile-gloves-50-pk-0428456p.html" TargetMode="External"/><Relationship Id="rId54" Type="http://schemas.openxmlformats.org/officeDocument/2006/relationships/hyperlink" Target="https://www.canadiantire.ca/en/pdp/frank-disposable-vinyl-nitrile-gloves-50-pk-0428456p.html" TargetMode="External"/><Relationship Id="rId75" Type="http://schemas.openxmlformats.org/officeDocument/2006/relationships/hyperlink" Target="https://www.canadiantire.ca/en/pdp/frank-disposable-vinyl-nitrile-gloves-50-pk-0428456p.html" TargetMode="External"/><Relationship Id="rId96"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40" Type="http://schemas.openxmlformats.org/officeDocument/2006/relationships/hyperlink" Target="https://www.stat.gouv.qc.ca/statistiques/travail-remuneration/remuneration-globale/globale-salaires/emplois-reperes/305empl_an.htm" TargetMode="External"/><Relationship Id="rId161" Type="http://schemas.openxmlformats.org/officeDocument/2006/relationships/hyperlink" Target="https://www.biobasic.com/96-well-plate-viral-dna-miniprep-kit/" TargetMode="External"/><Relationship Id="rId182" Type="http://schemas.openxmlformats.org/officeDocument/2006/relationships/hyperlink" Target="https://www.stat.gouv.qc.ca/statistiques/travail-remuneration/remuneration-globale/globale-salaires/emplois-reperes/305empl_an.htm" TargetMode="External"/><Relationship Id="rId6" Type="http://schemas.openxmlformats.org/officeDocument/2006/relationships/hyperlink" Target="https://www.grainger.ca/en/product/EAR-LOOP-MASK-BLUE%2CPK-50/p/WWG9E274" TargetMode="External"/><Relationship Id="rId23" Type="http://schemas.openxmlformats.org/officeDocument/2006/relationships/hyperlink" Target="https://www.biobasic.com/96-well-plate-viral-dna-miniprep-kit/" TargetMode="External"/><Relationship Id="rId119" Type="http://schemas.openxmlformats.org/officeDocument/2006/relationships/hyperlink" Target="http://www.fiqsante.qc.ca/wp-content/uploads/2016/10/Echelles_salariales_Web_2016-2020_FR.pdf?download=1" TargetMode="External"/><Relationship Id="rId44" Type="http://schemas.openxmlformats.org/officeDocument/2006/relationships/hyperlink" Target="https://www.canadiantire.ca/en/pdp/frank-disposable-vinyl-nitrile-gloves-50-pk-0428456p.html" TargetMode="External"/><Relationship Id="rId65" Type="http://schemas.openxmlformats.org/officeDocument/2006/relationships/hyperlink" Target="https://www.ramq.gouv.qc.ca/SiteCollectionDocuments/professionnels/manuels/syra/medecins-specialistes/150-facturation-specialistes/manuel-specialistes-remuneration-acte.html" TargetMode="External"/><Relationship Id="rId86" Type="http://schemas.openxmlformats.org/officeDocument/2006/relationships/hyperlink" Target="https://www.canadiansafetysupplies.com/N95-Particulate-Respirator-3M-p/8511.htm" TargetMode="External"/><Relationship Id="rId130" Type="http://schemas.openxmlformats.org/officeDocument/2006/relationships/hyperlink" Target="https://www.canadiantire.ca/en/pdp/frank-disposable-vinyl-nitrile-gloves-50-pk-0428456p.html" TargetMode="External"/><Relationship Id="rId151" Type="http://schemas.openxmlformats.org/officeDocument/2006/relationships/hyperlink" Target="https://www.stat.gouv.qc.ca/statistiques/travail-remuneration/remuneration-globale/globale-salaires/emplois-reperes/305empl_an.htm" TargetMode="External"/><Relationship Id="rId172" Type="http://schemas.openxmlformats.org/officeDocument/2006/relationships/hyperlink" Target="https://www.canadiantire.ca/en/pdp/frank-disposable-vinyl-nitrile-gloves-50-pk-0428456p.html" TargetMode="External"/><Relationship Id="rId193" Type="http://schemas.openxmlformats.org/officeDocument/2006/relationships/hyperlink" Target="https://www.biobasic.com/96-well-plate-viral-dna-miniprep-kit/" TargetMode="External"/><Relationship Id="rId13" Type="http://schemas.openxmlformats.org/officeDocument/2006/relationships/hyperlink" Target="https://www.stat.gouv.qc.ca/statistiques/travail-remuneration/remuneration-globale/globale-salaires/emplois-reperes/305empl_an.htm" TargetMode="External"/><Relationship Id="rId109" Type="http://schemas.openxmlformats.org/officeDocument/2006/relationships/hyperlink" Target="https://www.homedepot.com/p/3M-Clear-Professional-Face-Shield-90028-80025/202195394" TargetMode="External"/><Relationship Id="rId34" Type="http://schemas.openxmlformats.org/officeDocument/2006/relationships/hyperlink" Target="https://www.canadiantire.ca/en/pdp/frank-disposable-vinyl-nitrile-gloves-50-pk-0428456p.html" TargetMode="External"/><Relationship Id="rId50" Type="http://schemas.openxmlformats.org/officeDocument/2006/relationships/hyperlink" Target="http://www.fiqsante.qc.ca/wp-content/uploads/2016/10/Echelles_salariales_Web_2016-2020_FR.pdf?download=1" TargetMode="External"/><Relationship Id="rId55" Type="http://schemas.openxmlformats.org/officeDocument/2006/relationships/hyperlink" Target="https://www.canadiantire.ca/en/pdp/frank-disposable-vinyl-nitrile-gloves-50-pk-0428456p.html" TargetMode="External"/><Relationship Id="rId76" Type="http://schemas.openxmlformats.org/officeDocument/2006/relationships/hyperlink" Target="https://www.canadiantire.ca/en/pdp/frank-disposable-vinyl-nitrile-gloves-50-pk-0428456p.html" TargetMode="External"/><Relationship Id="rId97" Type="http://schemas.openxmlformats.org/officeDocument/2006/relationships/hyperlink" Target="http://www.fiqsante.qc.ca/wp-content/uploads/2016/10/Echelles_salariales_Web_2016-2020_FR.pdf?download=1" TargetMode="External"/><Relationship Id="rId104" Type="http://schemas.openxmlformats.org/officeDocument/2006/relationships/hyperlink" Target="https://www.homedepot.com/p/3M-Clear-Professional-Face-Shield-90028-80025/202195394" TargetMode="External"/><Relationship Id="rId120"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25" Type="http://schemas.openxmlformats.org/officeDocument/2006/relationships/hyperlink" Target="https://www.stat.gouv.qc.ca/statistiques/travail-remuneration/remuneration-globale/globale-salaires/emplois-reperes/305empl_an.htm" TargetMode="External"/><Relationship Id="rId141" Type="http://schemas.openxmlformats.org/officeDocument/2006/relationships/hyperlink" Target="https://neuvoo.ca/salary/?job=Laboratory%20Coordinator" TargetMode="External"/><Relationship Id="rId146" Type="http://schemas.openxmlformats.org/officeDocument/2006/relationships/hyperlink" Target="https://www.canadiansafetysupplies.com/N95-Particulate-Respirator-3M-p/8511.htm" TargetMode="External"/><Relationship Id="rId167" Type="http://schemas.openxmlformats.org/officeDocument/2006/relationships/hyperlink" Target="https://www.stat.gouv.qc.ca/statistiques/travail-remuneration/remuneration-globale/globale-salaires/emplois-reperes/305empl_an.htm" TargetMode="External"/><Relationship Id="rId188"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7" Type="http://schemas.openxmlformats.org/officeDocument/2006/relationships/hyperlink" Target="http://imt.emploiquebec.gouv.qc.ca/mtg/inter/noncache/contenu/asp/mtg122_sommprofs_01.asp?aprof=3414&amp;PT4=53&amp;lang=ANGL&amp;Porte=1&amp;cregncmp1=QC&amp;ssai=0&amp;motpro=transport+attendant&amp;pro=3414&amp;PT2=21&amp;cregn=QC&amp;PT1=25&amp;type=01&amp;PT3=10" TargetMode="External"/><Relationship Id="rId71" Type="http://schemas.openxmlformats.org/officeDocument/2006/relationships/hyperlink" Target="https://www.uline.ca/Product/Detail/H-1240/Dymo-Label-Printers-and-Labels/Dymo-Labelwriter-450-Printer?pricode=YD413&amp;gadtype=pla&amp;id=H-1240&amp;gclid=CjwKCAjwssD0BRBIEiwA-JP5rPSh55hNV9NcV_w6RdfAhPS6XUlbx18Tidw-r7Cbir42pcA5ShGZDxoCDxAQAvD_BwE&amp;gclsrc=aw.ds" TargetMode="External"/><Relationship Id="rId92" Type="http://schemas.openxmlformats.org/officeDocument/2006/relationships/hyperlink" Target="https://www.fishersci.ca/shop/products/bd-micro-fine-contact-activated-lancet-3/p-3491417" TargetMode="External"/><Relationship Id="rId162" Type="http://schemas.openxmlformats.org/officeDocument/2006/relationships/hyperlink" Target="https://www.biobasic.com/sars-cov-2-covid-19-rt-qpcr-detection-kit/" TargetMode="External"/><Relationship Id="rId183" Type="http://schemas.openxmlformats.org/officeDocument/2006/relationships/hyperlink" Target="https://www.stat.gouv.qc.ca/statistiques/travail-remuneration/remuneration-globale/globale-salaires/emplois-reperes/305empl_an.htm" TargetMode="External"/><Relationship Id="rId2" Type="http://schemas.openxmlformats.org/officeDocument/2006/relationships/hyperlink" Target="https://www.canadiantire.ca/en/pdp/frank-disposable-vinyl-nitrile-gloves-50-pk-0428456p.html" TargetMode="External"/><Relationship Id="rId29" Type="http://schemas.openxmlformats.org/officeDocument/2006/relationships/hyperlink" Target="https://www.stat.gouv.qc.ca/statistiques/travail-remuneration/remuneration-globale/globale-salaires/emplois-reperes/305empl_an.htm" TargetMode="External"/><Relationship Id="rId24" Type="http://schemas.openxmlformats.org/officeDocument/2006/relationships/hyperlink" Target="https://www.biobasic.com/sars-cov-2-covid-19-rt-qpcr-detection-kit/" TargetMode="External"/><Relationship Id="rId40" Type="http://schemas.openxmlformats.org/officeDocument/2006/relationships/hyperlink" Target="http://www.fiqsante.qc.ca/wp-content/uploads/2016/10/Echelles_salariales_Web_2016-2020_FR.pdf?download=1" TargetMode="External"/><Relationship Id="rId45" Type="http://schemas.openxmlformats.org/officeDocument/2006/relationships/hyperlink" Target="https://www.canadiantire.ca/en/pdp/frank-disposable-vinyl-nitrile-gloves-50-pk-0428456p.html" TargetMode="External"/><Relationship Id="rId66" Type="http://schemas.openxmlformats.org/officeDocument/2006/relationships/hyperlink" Target="https://www.canadiantire.ca/en/pdp/frank-disposable-vinyl-nitrile-gloves-50-pk-0428456p.html" TargetMode="External"/><Relationship Id="rId87" Type="http://schemas.openxmlformats.org/officeDocument/2006/relationships/hyperlink" Target="https://www.grainger.ca/en/product/EAR-LOOP-MASK-BLUE%2CPK-50/p/WWG9E274" TargetMode="External"/><Relationship Id="rId110" Type="http://schemas.openxmlformats.org/officeDocument/2006/relationships/hyperlink" Target="https://www.canadiansafetysupplies.com/N95-Particulate-Respirator-3M-p/8511.htm" TargetMode="External"/><Relationship Id="rId11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31" Type="http://schemas.openxmlformats.org/officeDocument/2006/relationships/hyperlink" Target="https://www.homedepot.com/p/3M-Clear-Professional-Face-Shield-90028-80025/202195394" TargetMode="External"/><Relationship Id="rId136" Type="http://schemas.openxmlformats.org/officeDocument/2006/relationships/hyperlink" Target="https://www.stat.gouv.qc.ca/statistiques/travail-remuneration/remuneration-globale/globale-salaires/emplois-reperes/305empl_an.htm" TargetMode="External"/><Relationship Id="rId157" Type="http://schemas.openxmlformats.org/officeDocument/2006/relationships/hyperlink" Target="https://www.canadiantire.ca/en/pdp/frank-disposable-vinyl-nitrile-gloves-50-pk-0428456p.html" TargetMode="External"/><Relationship Id="rId178" Type="http://schemas.openxmlformats.org/officeDocument/2006/relationships/hyperlink" Target="https://www.fishersci.ca/shop/products/fisherbrand-biohazard-specimen-transport-bags-10/0180004" TargetMode="External"/><Relationship Id="rId61" Type="http://schemas.openxmlformats.org/officeDocument/2006/relationships/hyperlink" Target="https://www.fishersci.ca/shop/products/therapak-corporation-coleman-excursion-handle-coolers-4/22131508" TargetMode="External"/><Relationship Id="rId82" Type="http://schemas.openxmlformats.org/officeDocument/2006/relationships/hyperlink" Target="https://www.stat.gouv.qc.ca/statistiques/travail-remuneration/remuneration-globale/globale-salaires/emplois-reperes/305empl_an.htm" TargetMode="External"/><Relationship Id="rId152" Type="http://schemas.openxmlformats.org/officeDocument/2006/relationships/hyperlink" Target="https://www.stat.gouv.qc.ca/statistiques/travail-remuneration/remuneration-globale/globale-salaires/emplois-reperes/305empl_an.htm" TargetMode="External"/><Relationship Id="rId173" Type="http://schemas.openxmlformats.org/officeDocument/2006/relationships/hyperlink" Target="https://www.homedepot.com/p/3M-Clear-Professional-Face-Shield-90028-80025/202195394" TargetMode="External"/><Relationship Id="rId19" Type="http://schemas.openxmlformats.org/officeDocument/2006/relationships/hyperlink" Target="https://www.canadiantire.ca/en/pdp/frank-disposable-vinyl-nitrile-gloves-50-pk-0428456p.html" TargetMode="External"/><Relationship Id="rId14" Type="http://schemas.openxmlformats.org/officeDocument/2006/relationships/hyperlink" Target="https://www.stat.gouv.qc.ca/statistiques/travail-remuneration/remuneration-globale/globale-salaires/emplois-reperes/305empl_an.htm" TargetMode="External"/><Relationship Id="rId30" Type="http://schemas.openxmlformats.org/officeDocument/2006/relationships/hyperlink" Target="https://www.stat.gouv.qc.ca/statistiques/travail-remuneration/remuneration-globale/globale-salaires/emplois-reperes/305empl_an.htm" TargetMode="External"/><Relationship Id="rId35" Type="http://schemas.openxmlformats.org/officeDocument/2006/relationships/hyperlink" Target="https://www.homedepot.com/p/3M-Clear-Professional-Face-Shield-90028-80025/202195394" TargetMode="External"/><Relationship Id="rId56" Type="http://schemas.openxmlformats.org/officeDocument/2006/relationships/hyperlink" Target="https://www.homedepot.com/p/3M-Clear-Professional-Face-Shield-90028-80025/202195394" TargetMode="External"/><Relationship Id="rId77" Type="http://schemas.openxmlformats.org/officeDocument/2006/relationships/hyperlink" Target="https://www.homedepot.com/p/3M-Clear-Professional-Face-Shield-90028-80025/202195394" TargetMode="External"/><Relationship Id="rId100" Type="http://schemas.openxmlformats.org/officeDocument/2006/relationships/hyperlink" Target="http://www.fiqsante.qc.ca/wp-content/uploads/2016/10/Echelles_salariales_Web_2016-2020_FR.pdf?download=1" TargetMode="External"/><Relationship Id="rId105" Type="http://schemas.openxmlformats.org/officeDocument/2006/relationships/hyperlink" Target="https://www.canadiansafetysupplies.com/N95-Particulate-Respirator-3M-p/8511.htm" TargetMode="External"/><Relationship Id="rId126" Type="http://schemas.openxmlformats.org/officeDocument/2006/relationships/hyperlink" Target="https://www.stat.gouv.qc.ca/statistiques/travail-remuneration/remuneration-globale/globale-salaires/emplois-reperes/305empl_an.htm" TargetMode="External"/><Relationship Id="rId147" Type="http://schemas.openxmlformats.org/officeDocument/2006/relationships/hyperlink" Target="https://www.biobasic.com/96-well-plate-viral-dna-miniprep-kit/" TargetMode="External"/><Relationship Id="rId168" Type="http://schemas.openxmlformats.org/officeDocument/2006/relationships/hyperlink" Target="https://www.stat.gouv.qc.ca/statistiques/travail-remuneration/remuneration-globale/globale-salaires/emplois-reperes/305empl_an.htm" TargetMode="External"/><Relationship Id="rId8" Type="http://schemas.openxmlformats.org/officeDocument/2006/relationships/hyperlink" Target="https://www.caaquebec.com/en/on-the-road/public-interest/gasoline-matters/gasoline-watch/" TargetMode="External"/><Relationship Id="rId51"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7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93" Type="http://schemas.openxmlformats.org/officeDocument/2006/relationships/hyperlink" Target="https://www.fishersci.ca/shop/products/bd-micro-fine-contact-activated-lancet-3/p-3491417" TargetMode="External"/><Relationship Id="rId98"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2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42"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63"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84" Type="http://schemas.openxmlformats.org/officeDocument/2006/relationships/hyperlink" Target="https://www.thermofisher.com/us/en/home/references/protocols/cell-and-tissue-analysis/elisa-protocol/general-elisa-protocol.html" TargetMode="External"/><Relationship Id="rId189" Type="http://schemas.openxmlformats.org/officeDocument/2006/relationships/hyperlink" Target="https://www.canadiantire.ca/en/pdp/frank-disposable-vinyl-nitrile-gloves-50-pk-0428456p.html" TargetMode="External"/><Relationship Id="rId3" Type="http://schemas.openxmlformats.org/officeDocument/2006/relationships/hyperlink" Target="https://www.canadiantire.ca/en/pdp/frank-disposable-vinyl-nitrile-gloves-50-pk-0428456p.html" TargetMode="External"/><Relationship Id="rId2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46" Type="http://schemas.openxmlformats.org/officeDocument/2006/relationships/hyperlink" Target="https://www.homedepot.com/p/3M-Clear-Professional-Face-Shield-90028-80025/202195394" TargetMode="External"/><Relationship Id="rId67" Type="http://schemas.openxmlformats.org/officeDocument/2006/relationships/hyperlink" Target="https://www.canadiantire.ca/en/pdp/frank-disposable-vinyl-nitrile-gloves-50-pk-0428456p.html" TargetMode="External"/><Relationship Id="rId116" Type="http://schemas.openxmlformats.org/officeDocument/2006/relationships/hyperlink" Target="http://www.fiqsante.qc.ca/wp-content/uploads/2016/10/Echelles_salariales_Web_2016-2020_FR.pdf?download=1" TargetMode="External"/><Relationship Id="rId137" Type="http://schemas.openxmlformats.org/officeDocument/2006/relationships/hyperlink" Target="https://www.stat.gouv.qc.ca/statistiques/travail-remuneration/remuneration-globale/globale-salaires/emplois-reperes/305empl_an.htm" TargetMode="External"/><Relationship Id="rId158" Type="http://schemas.openxmlformats.org/officeDocument/2006/relationships/hyperlink" Target="https://www.canadiantire.ca/en/pdp/frank-disposable-vinyl-nitrile-gloves-50-pk-0428456p.html" TargetMode="External"/><Relationship Id="rId20" Type="http://schemas.openxmlformats.org/officeDocument/2006/relationships/hyperlink" Target="https://www.canadiantire.ca/en/pdp/frank-disposable-vinyl-nitrile-gloves-50-pk-0428456p.html" TargetMode="External"/><Relationship Id="rId41" Type="http://schemas.openxmlformats.org/officeDocument/2006/relationships/hyperlink" Target="http://imt.emploiquebec.gouv.qc.ca/mtg/inter/noncache/contenu/asp/mtg122_sommprofs_01.asp?aprof=6541&amp;PT4=53&amp;motpro=security&amp;lang=ANGL&amp;Porte=1&amp;cregncmp1=QC&amp;ssai=0&amp;pro=6541&amp;PT2=21&amp;cregn=QC&amp;PT1=25&amp;type=01&amp;PT3=10" TargetMode="External"/><Relationship Id="rId62" Type="http://schemas.openxmlformats.org/officeDocument/2006/relationships/hyperlink" Target="https://www.fishersci.ca/shop/products/fisherbrand-biohazard-specimen-transport-bags-10/0180004" TargetMode="External"/><Relationship Id="rId83" Type="http://schemas.openxmlformats.org/officeDocument/2006/relationships/hyperlink" Target="https://www.canadiantire.ca/en/pdp/frank-disposable-vinyl-nitrile-gloves-50-pk-0428456p.html" TargetMode="External"/><Relationship Id="rId88" Type="http://schemas.openxmlformats.org/officeDocument/2006/relationships/hyperlink" Target="https://www.fishersci.ca/shop/products/bd-micro-fine-contact-activated-lancet-3/p-3491417" TargetMode="External"/><Relationship Id="rId111" Type="http://schemas.openxmlformats.org/officeDocument/2006/relationships/hyperlink" Target="https://www.grainger.ca/en/product/EAR-LOOP-MASK-BLUE%2CPK-50/p/WWG9E274" TargetMode="External"/><Relationship Id="rId132" Type="http://schemas.openxmlformats.org/officeDocument/2006/relationships/hyperlink" Target="https://www.canadiansafetysupplies.com/N95-Particulate-Respirator-3M-p/8511.htm" TargetMode="External"/><Relationship Id="rId153" Type="http://schemas.openxmlformats.org/officeDocument/2006/relationships/hyperlink" Target="https://www.stat.gouv.qc.ca/statistiques/travail-remuneration/remuneration-globale/globale-salaires/emplois-reperes/305empl_an.htm" TargetMode="External"/><Relationship Id="rId174" Type="http://schemas.openxmlformats.org/officeDocument/2006/relationships/hyperlink" Target="https://www.canadiansafetysupplies.com/N95-Particulate-Respirator-3M-p/8511.htm" TargetMode="External"/><Relationship Id="rId179" Type="http://schemas.openxmlformats.org/officeDocument/2006/relationships/hyperlink" Target="https://www.fishersci.ca/shop/products/therapak-corporation-coleman-excursion-handle-coolers-4/22131508" TargetMode="External"/><Relationship Id="rId190" Type="http://schemas.openxmlformats.org/officeDocument/2006/relationships/hyperlink" Target="https://www.canadiantire.ca/en/pdp/frank-disposable-vinyl-nitrile-gloves-50-pk-0428456p.html" TargetMode="External"/><Relationship Id="rId15" Type="http://schemas.openxmlformats.org/officeDocument/2006/relationships/hyperlink" Target="https://www.stat.gouv.qc.ca/statistiques/travail-remuneration/remuneration-globale/globale-salaires/emplois-reperes/305empl_an.htm" TargetMode="External"/><Relationship Id="rId36" Type="http://schemas.openxmlformats.org/officeDocument/2006/relationships/hyperlink" Target="https://www.canadiansafetysupplies.com/N95-Particulate-Respirator-3M-p/8511.htm" TargetMode="External"/><Relationship Id="rId57" Type="http://schemas.openxmlformats.org/officeDocument/2006/relationships/hyperlink" Target="https://www.canadiansafetysupplies.com/N95-Particulate-Respirator-3M-p/8511.htm" TargetMode="External"/><Relationship Id="rId106" Type="http://schemas.openxmlformats.org/officeDocument/2006/relationships/hyperlink" Target="https://www.grainger.ca/en/product/EAR-LOOP-MASK-BLUE%2CPK-50/p/WWG9E274" TargetMode="External"/><Relationship Id="rId127" Type="http://schemas.openxmlformats.org/officeDocument/2006/relationships/hyperlink" Target="https://neuvoo.ca/salary/?job=Laboratory%20Coordinator" TargetMode="External"/><Relationship Id="rId10" Type="http://schemas.openxmlformats.org/officeDocument/2006/relationships/hyperlink" Target="https://www.fishersci.ca/shop/products/fisherbrand-biohazard-specimen-transport-bags-10/0180004" TargetMode="External"/><Relationship Id="rId31" Type="http://schemas.openxmlformats.org/officeDocument/2006/relationships/hyperlink" Target="https://neuvoo.ca/salary/?job=Laboratory%20Coordinator" TargetMode="External"/><Relationship Id="rId52"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73" Type="http://schemas.openxmlformats.org/officeDocument/2006/relationships/hyperlink" Target="http://www.fiqsante.qc.ca/wp-content/uploads/2016/10/Echelles_salariales_Web_2016-2020_FR.pdf?download=1" TargetMode="External"/><Relationship Id="rId78" Type="http://schemas.openxmlformats.org/officeDocument/2006/relationships/hyperlink" Target="https://www.canadiansafetysupplies.com/N95-Particulate-Respirator-3M-p/8511.htm" TargetMode="External"/><Relationship Id="rId94" Type="http://schemas.openxmlformats.org/officeDocument/2006/relationships/hyperlink" Target="https://www.fishersci.ca/shop/products/bd-micro-fine-contact-activated-lancet-3/p-3491417" TargetMode="External"/><Relationship Id="rId99"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01" Type="http://schemas.openxmlformats.org/officeDocument/2006/relationships/hyperlink" Target="http://imt.emploiquebec.gouv.qc.ca/mtg/inter/noncache/contenu/asp/mtg122_sommprofs_01.asp?aprof=3234&amp;PT4=53&amp;lang=ANGL&amp;Porte=1&amp;cregncmp1=QC&amp;ssai=0&amp;motpro=paramedic&amp;pro=3234&amp;PT2=21&amp;cregn=QC&amp;PT1=25&amp;type=01&amp;PT3=10" TargetMode="External"/><Relationship Id="rId122" Type="http://schemas.openxmlformats.org/officeDocument/2006/relationships/hyperlink" Target="https://www.stat.gouv.qc.ca/statistiques/travail-remuneration/remuneration-globale/globale-salaires/emplois-reperes/305empl_an.htm" TargetMode="External"/><Relationship Id="rId143" Type="http://schemas.openxmlformats.org/officeDocument/2006/relationships/hyperlink" Target="https://www.canadiantire.ca/en/pdp/frank-disposable-vinyl-nitrile-gloves-50-pk-0428456p.html" TargetMode="External"/><Relationship Id="rId148" Type="http://schemas.openxmlformats.org/officeDocument/2006/relationships/hyperlink" Target="https://www.biobasic.com/sars-cov-2-covid-19-rt-qpcr-detection-kit/" TargetMode="External"/><Relationship Id="rId164" Type="http://schemas.openxmlformats.org/officeDocument/2006/relationships/hyperlink" Target="https://www.stat.gouv.qc.ca/statistiques/travail-remuneration/remuneration-globale/globale-salaires/emplois-reperes/305empl_an.htm" TargetMode="External"/><Relationship Id="rId169" Type="http://schemas.openxmlformats.org/officeDocument/2006/relationships/hyperlink" Target="https://neuvoo.ca/salary/?job=Laboratory%20Coordinator" TargetMode="External"/><Relationship Id="rId185" Type="http://schemas.openxmlformats.org/officeDocument/2006/relationships/hyperlink" Target="https://www.roche.com/media/releases/med-cor-2020-04-17.htm" TargetMode="External"/><Relationship Id="rId4" Type="http://schemas.openxmlformats.org/officeDocument/2006/relationships/hyperlink" Target="https://www.homedepot.com/p/3M-Clear-Professional-Face-Shield-90028-80025/202195394" TargetMode="External"/><Relationship Id="rId9" Type="http://schemas.openxmlformats.org/officeDocument/2006/relationships/hyperlink" Target="https://www.fishersci.ca/shop/products/therapak-corporation-coleman-excursion-handle-coolers-4/22131508" TargetMode="External"/><Relationship Id="rId180" Type="http://schemas.openxmlformats.org/officeDocument/2006/relationships/hyperlink" Target="https://www.fishersci.ca/shop/products/fisherbrand-biohazard-specimen-transport-bags-10/0180004" TargetMode="External"/><Relationship Id="rId26" Type="http://schemas.openxmlformats.org/officeDocument/2006/relationships/hyperlink" Target="https://www.stat.gouv.qc.ca/statistiques/travail-remuneration/remuneration-globale/globale-salaires/emplois-reperes/305empl_an.htm" TargetMode="External"/><Relationship Id="rId47" Type="http://schemas.openxmlformats.org/officeDocument/2006/relationships/hyperlink" Target="https://www.canadiansafetysupplies.com/N95-Particulate-Respirator-3M-p/8511.htm" TargetMode="External"/><Relationship Id="rId68" Type="http://schemas.openxmlformats.org/officeDocument/2006/relationships/hyperlink" Target="https://www.homedepot.com/p/3M-Clear-Professional-Face-Shield-90028-80025/202195394" TargetMode="External"/><Relationship Id="rId89" Type="http://schemas.openxmlformats.org/officeDocument/2006/relationships/hyperlink" Target="https://www.fishersci.ca/shop/products/bd-micro-fine-contact-activated-lancet-3/p-3491417" TargetMode="External"/><Relationship Id="rId112"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33" Type="http://schemas.openxmlformats.org/officeDocument/2006/relationships/hyperlink" Target="https://www.biobasic.com/96-well-plate-viral-dna-miniprep-kit/" TargetMode="External"/><Relationship Id="rId154" Type="http://schemas.openxmlformats.org/officeDocument/2006/relationships/hyperlink" Target="https://www.stat.gouv.qc.ca/statistiques/travail-remuneration/remuneration-globale/globale-salaires/emplois-reperes/305empl_an.htm" TargetMode="External"/><Relationship Id="rId175" Type="http://schemas.openxmlformats.org/officeDocument/2006/relationships/hyperlink" Target="https://www.biobasic.com/96-well-plate-viral-dna-miniprep-kit/" TargetMode="External"/><Relationship Id="rId16" Type="http://schemas.openxmlformats.org/officeDocument/2006/relationships/hyperlink" Target="https://www.stat.gouv.qc.ca/statistiques/travail-remuneration/remuneration-globale/globale-salaires/emplois-reperes/305empl_an.htm" TargetMode="External"/><Relationship Id="rId37" Type="http://schemas.openxmlformats.org/officeDocument/2006/relationships/hyperlink" Target="https://www.biobasic.com/96-well-plate-viral-dna-miniprep-kit/" TargetMode="External"/><Relationship Id="rId58" Type="http://schemas.openxmlformats.org/officeDocument/2006/relationships/hyperlink" Target="https://www.grainger.ca/en/product/EAR-LOOP-MASK-BLUE%2CPK-50/p/WWG9E274" TargetMode="External"/><Relationship Id="rId79" Type="http://schemas.openxmlformats.org/officeDocument/2006/relationships/hyperlink" Target="https://www.grainger.ca/en/product/EAR-LOOP-MASK-BLUE%2CPK-50/p/WWG9E274" TargetMode="External"/><Relationship Id="rId102" Type="http://schemas.openxmlformats.org/officeDocument/2006/relationships/hyperlink" Target="https://www.canadiantire.ca/en/pdp/frank-disposable-vinyl-nitrile-gloves-50-pk-0428456p.html" TargetMode="External"/><Relationship Id="rId123" Type="http://schemas.openxmlformats.org/officeDocument/2006/relationships/hyperlink" Target="https://www.stat.gouv.qc.ca/statistiques/travail-remuneration/remuneration-globale/globale-salaires/emplois-reperes/305empl_an.htm" TargetMode="External"/><Relationship Id="rId144" Type="http://schemas.openxmlformats.org/officeDocument/2006/relationships/hyperlink" Target="https://www.canadiantire.ca/en/pdp/frank-disposable-vinyl-nitrile-gloves-50-pk-0428456p.html" TargetMode="External"/><Relationship Id="rId90" Type="http://schemas.openxmlformats.org/officeDocument/2006/relationships/hyperlink" Target="https://www.fishersci.ca/shop/products/bd-micro-fine-contact-activated-lancet-3/p-3491417" TargetMode="External"/><Relationship Id="rId165" Type="http://schemas.openxmlformats.org/officeDocument/2006/relationships/hyperlink" Target="https://www.stat.gouv.qc.ca/statistiques/travail-remuneration/remuneration-globale/globale-salaires/emplois-reperes/305empl_an.htm" TargetMode="External"/><Relationship Id="rId186" Type="http://schemas.openxmlformats.org/officeDocument/2006/relationships/hyperlink" Target="https://www.stat.gouv.qc.ca/statistiques/travail-remuneration/remuneration-globale/globale-salaires/emplois-reperes/305empl_an.htm" TargetMode="External"/><Relationship Id="rId27" Type="http://schemas.openxmlformats.org/officeDocument/2006/relationships/hyperlink" Target="https://www.stat.gouv.qc.ca/statistiques/travail-remuneration/remuneration-globale/globale-salaires/emplois-reperes/305empl_an.htm" TargetMode="External"/><Relationship Id="rId48" Type="http://schemas.openxmlformats.org/officeDocument/2006/relationships/hyperlink" Target="https://www.grainger.ca/en/product/EAR-LOOP-MASK-BLUE%2CPK-50/p/WWG9E274" TargetMode="External"/><Relationship Id="rId69" Type="http://schemas.openxmlformats.org/officeDocument/2006/relationships/hyperlink" Target="https://www.canadiansafetysupplies.com/N95-Particulate-Respirator-3M-p/8511.htm" TargetMode="External"/><Relationship Id="rId113" Type="http://schemas.openxmlformats.org/officeDocument/2006/relationships/hyperlink" Target="http://www.fiqsante.qc.ca/wp-content/uploads/2016/10/Echelles_salariales_Web_2016-2020_FR.pdf?download=1" TargetMode="External"/><Relationship Id="rId134" Type="http://schemas.openxmlformats.org/officeDocument/2006/relationships/hyperlink" Target="https://www.biobasic.com/sars-cov-2-covid-19-rt-qpcr-detection-kit/" TargetMode="External"/><Relationship Id="rId80"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55" Type="http://schemas.openxmlformats.org/officeDocument/2006/relationships/hyperlink" Target="https://neuvoo.ca/salary/?job=Laboratory%20Coordinator" TargetMode="External"/><Relationship Id="rId176" Type="http://schemas.openxmlformats.org/officeDocument/2006/relationships/hyperlink" Target="https://www.biobasic.com/sars-cov-2-covid-19-rt-qpcr-detection-kit/" TargetMode="External"/><Relationship Id="rId17" Type="http://schemas.openxmlformats.org/officeDocument/2006/relationships/hyperlink" Target="https://neuvoo.ca/salary/?job=Laboratory%20Coordinator" TargetMode="External"/><Relationship Id="rId38" Type="http://schemas.openxmlformats.org/officeDocument/2006/relationships/hyperlink" Target="https://www.biobasic.com/sars-cov-2-covid-19-rt-qpcr-detection-kit/" TargetMode="External"/><Relationship Id="rId59" Type="http://schemas.openxmlformats.org/officeDocument/2006/relationships/hyperlink" Target="http://imt.emploiquebec.gouv.qc.ca/mtg/inter/noncache/contenu/asp/mtg122_sommprofs_01.asp?aprof=3414&amp;PT4=53&amp;lang=ANGL&amp;Porte=1&amp;cregncmp1=QC&amp;ssai=0&amp;motpro=transport+attendant&amp;pro=3414&amp;PT2=21&amp;cregn=QC&amp;PT1=25&amp;type=01&amp;PT3=10" TargetMode="External"/><Relationship Id="rId103" Type="http://schemas.openxmlformats.org/officeDocument/2006/relationships/hyperlink" Target="https://www.canadiantire.ca/en/pdp/frank-disposable-vinyl-nitrile-gloves-50-pk-0428456p.html" TargetMode="External"/><Relationship Id="rId124" Type="http://schemas.openxmlformats.org/officeDocument/2006/relationships/hyperlink" Target="https://www.stat.gouv.qc.ca/statistiques/travail-remuneration/remuneration-globale/globale-salaires/emplois-reperes/305empl_an.htm" TargetMode="External"/><Relationship Id="rId70" Type="http://schemas.openxmlformats.org/officeDocument/2006/relationships/hyperlink" Target="https://www.grainger.ca/en/product/EAR-LOOP-MASK-BLUE%2CPK-50/p/WWG9E274" TargetMode="External"/><Relationship Id="rId91" Type="http://schemas.openxmlformats.org/officeDocument/2006/relationships/hyperlink" Target="https://www.fishersci.ca/shop/products/bd-micro-fine-contact-activated-lancet-3/p-3491417" TargetMode="External"/><Relationship Id="rId145" Type="http://schemas.openxmlformats.org/officeDocument/2006/relationships/hyperlink" Target="https://www.homedepot.com/p/3M-Clear-Professional-Face-Shield-90028-80025/202195394" TargetMode="External"/><Relationship Id="rId166" Type="http://schemas.openxmlformats.org/officeDocument/2006/relationships/hyperlink" Target="https://www.stat.gouv.qc.ca/statistiques/travail-remuneration/remuneration-globale/globale-salaires/emplois-reperes/305empl_an.htm" TargetMode="External"/><Relationship Id="rId187" Type="http://schemas.openxmlformats.org/officeDocument/2006/relationships/hyperlink" Target="https://neuvoo.ca/salary/?job=Laboratory%20Coordinator" TargetMode="External"/><Relationship Id="rId1"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28" Type="http://schemas.openxmlformats.org/officeDocument/2006/relationships/hyperlink" Target="https://www.stat.gouv.qc.ca/statistiques/travail-remuneration/remuneration-globale/globale-salaires/emplois-reperes/305empl_an.htm" TargetMode="External"/><Relationship Id="rId49"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14" Type="http://schemas.openxmlformats.org/officeDocument/2006/relationships/hyperlink" Target="http://www.fiqsante.qc.ca/wp-content/uploads/2016/10/Echelles_salariales_Web_2016-2020_FR.pdf?download=1" TargetMode="External"/><Relationship Id="rId60" Type="http://schemas.openxmlformats.org/officeDocument/2006/relationships/hyperlink" Target="https://www.caaquebec.com/en/on-the-road/public-interest/gasoline-matters/gasoline-watch/" TargetMode="External"/><Relationship Id="rId81" Type="http://schemas.openxmlformats.org/officeDocument/2006/relationships/hyperlink" Target="http://www.fiqsante.qc.ca/wp-content/uploads/2016/10/Echelles_salariales_Web_2016-2020_FR.pdf?download=1" TargetMode="External"/><Relationship Id="rId135"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 Id="rId156"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177" Type="http://schemas.openxmlformats.org/officeDocument/2006/relationships/hyperlink" Target="https://www.fishersci.ca/shop/products/therapak-corporation-coleman-excursion-handle-coolers-4/22131508" TargetMode="External"/><Relationship Id="rId18" Type="http://schemas.openxmlformats.org/officeDocument/2006/relationships/hyperlink" Target="http://imt.emploiquebec.gouv.qc.ca/mtg/inter/noncache/contenu/asp/mtg122_sommprofs_01.asp?aprof=2121&amp;PT4=53&amp;lang=ANGL&amp;Porte=1&amp;cregncmp1=QC&amp;ssai=0&amp;motpro=virologist&amp;pro=2121&amp;PT2=21&amp;cregn=QC&amp;PT1=25&amp;type=01&amp;PT3=10" TargetMode="External"/><Relationship Id="rId39" Type="http://schemas.openxmlformats.org/officeDocument/2006/relationships/hyperlink" Target="http://imt.emploiquebec.gouv.qc.ca/mtg/inter/noncache/contenu/asp/mtg122_sommprofs_01.asp?aprof=1414&amp;PT4=53&amp;lang=ANGL&amp;Porte=1&amp;cregncmp1=QC&amp;ssai=0&amp;motpro=reception&amp;pro=1414&amp;PT2=21&amp;cregn=QC&amp;PT1=25&amp;type=01&amp;PT3=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4CE72-293D-044B-92D5-79056F7C203B}">
  <dimension ref="A1:AY326"/>
  <sheetViews>
    <sheetView tabSelected="1" topLeftCell="A292" zoomScale="75" zoomScaleNormal="100" workbookViewId="0">
      <selection activeCell="G15" sqref="G15"/>
    </sheetView>
  </sheetViews>
  <sheetFormatPr defaultColWidth="11.125" defaultRowHeight="15.75"/>
  <cols>
    <col min="1" max="1" width="4" customWidth="1"/>
    <col min="2" max="2" width="16" customWidth="1"/>
    <col min="3" max="3" width="55.875" customWidth="1"/>
    <col min="4" max="4" width="12.375" customWidth="1"/>
    <col min="5" max="5" width="8.625" style="98" customWidth="1"/>
    <col min="6" max="6" width="10.5" style="98" customWidth="1"/>
    <col min="7" max="7" width="8.125" style="98" customWidth="1"/>
    <col min="8" max="8" width="8.5" style="104" customWidth="1"/>
    <col min="9" max="9" width="48.5" customWidth="1"/>
    <col min="10" max="19" width="15.875" style="94" customWidth="1"/>
    <col min="20" max="35" width="15.875" customWidth="1"/>
  </cols>
  <sheetData>
    <row r="1" spans="2:35" ht="16.5" thickBot="1">
      <c r="H1" s="371"/>
      <c r="I1" s="372"/>
      <c r="J1" s="373"/>
      <c r="K1" s="373"/>
      <c r="L1" s="373"/>
      <c r="M1" s="373"/>
      <c r="N1" s="373"/>
      <c r="O1" s="373"/>
      <c r="P1" s="373"/>
    </row>
    <row r="2" spans="2:35" ht="80.099999999999994" customHeight="1" thickBot="1">
      <c r="B2" s="479" t="s">
        <v>543</v>
      </c>
      <c r="C2" s="479"/>
      <c r="D2" s="479"/>
      <c r="E2" s="117"/>
      <c r="F2" s="117"/>
      <c r="G2" s="117"/>
      <c r="H2" s="371"/>
      <c r="I2" s="374" t="s">
        <v>546</v>
      </c>
      <c r="J2" s="375" t="s">
        <v>547</v>
      </c>
      <c r="K2" s="375" t="s">
        <v>548</v>
      </c>
      <c r="L2" s="375" t="s">
        <v>549</v>
      </c>
      <c r="M2" s="375" t="s">
        <v>550</v>
      </c>
      <c r="N2" s="376" t="s">
        <v>551</v>
      </c>
      <c r="O2" s="376" t="s">
        <v>552</v>
      </c>
      <c r="P2" s="376" t="s">
        <v>553</v>
      </c>
      <c r="Q2" s="376" t="s">
        <v>554</v>
      </c>
      <c r="R2" s="376" t="s">
        <v>555</v>
      </c>
      <c r="S2" s="376" t="s">
        <v>556</v>
      </c>
      <c r="T2" s="376" t="s">
        <v>557</v>
      </c>
      <c r="U2" s="376" t="s">
        <v>558</v>
      </c>
      <c r="V2" s="376" t="s">
        <v>559</v>
      </c>
      <c r="W2" s="376" t="s">
        <v>560</v>
      </c>
      <c r="X2" s="377" t="s">
        <v>561</v>
      </c>
      <c r="Y2" s="377" t="s">
        <v>562</v>
      </c>
      <c r="Z2" s="377" t="s">
        <v>563</v>
      </c>
      <c r="AA2" s="377" t="s">
        <v>564</v>
      </c>
      <c r="AB2" s="377" t="s">
        <v>565</v>
      </c>
      <c r="AC2" s="377" t="s">
        <v>566</v>
      </c>
      <c r="AD2" s="377" t="s">
        <v>567</v>
      </c>
      <c r="AE2" s="377" t="s">
        <v>568</v>
      </c>
      <c r="AF2" s="377" t="s">
        <v>569</v>
      </c>
      <c r="AG2" s="377" t="s">
        <v>570</v>
      </c>
      <c r="AH2" s="377" t="s">
        <v>571</v>
      </c>
      <c r="AI2" s="378" t="s">
        <v>572</v>
      </c>
    </row>
    <row r="3" spans="2:35" ht="16.5" thickBot="1">
      <c r="H3" s="371"/>
      <c r="I3" s="379" t="s">
        <v>573</v>
      </c>
      <c r="J3" s="270">
        <v>1907</v>
      </c>
      <c r="K3" s="270">
        <v>4357</v>
      </c>
      <c r="L3" s="294">
        <v>86446</v>
      </c>
      <c r="M3" s="270">
        <v>113360</v>
      </c>
      <c r="N3" s="401">
        <v>45727</v>
      </c>
      <c r="O3" s="401">
        <v>338179</v>
      </c>
      <c r="P3" s="401">
        <v>719993</v>
      </c>
      <c r="Q3" s="292">
        <v>6.2</v>
      </c>
      <c r="R3" s="292">
        <v>86</v>
      </c>
      <c r="S3" s="292">
        <v>87</v>
      </c>
      <c r="T3" s="292">
        <v>1612</v>
      </c>
      <c r="U3" s="292">
        <v>15080</v>
      </c>
      <c r="V3" s="292">
        <v>1942</v>
      </c>
      <c r="W3" s="292">
        <v>0</v>
      </c>
      <c r="X3" s="292">
        <v>11</v>
      </c>
      <c r="Y3" s="359">
        <v>450.55153626529062</v>
      </c>
      <c r="Z3" s="292">
        <v>13446</v>
      </c>
      <c r="AA3" s="392">
        <v>2.5474500000000001E-4</v>
      </c>
      <c r="AB3" s="398">
        <v>9.7749120751992782E-2</v>
      </c>
      <c r="AC3" s="398">
        <v>0.17954229690408158</v>
      </c>
      <c r="AD3" s="398">
        <v>8.8495575221238937E-3</v>
      </c>
      <c r="AE3" s="398">
        <v>1.0905468463272689E-2</v>
      </c>
      <c r="AF3" s="395">
        <v>1.23E-3</v>
      </c>
      <c r="AG3" s="292">
        <v>5.1000000000000004E-4</v>
      </c>
      <c r="AH3" s="292">
        <v>2.5999999999999998E-4</v>
      </c>
      <c r="AI3" s="381">
        <v>7500</v>
      </c>
    </row>
    <row r="4" spans="2:35" ht="18.95" customHeight="1">
      <c r="B4" s="480" t="s">
        <v>544</v>
      </c>
      <c r="C4" s="481"/>
      <c r="D4" s="116" t="s">
        <v>296</v>
      </c>
      <c r="I4" s="379" t="s">
        <v>574</v>
      </c>
      <c r="J4" s="270">
        <v>5472</v>
      </c>
      <c r="K4" s="270">
        <v>3762</v>
      </c>
      <c r="L4" s="294">
        <v>86232</v>
      </c>
      <c r="M4" s="270">
        <v>102855</v>
      </c>
      <c r="N4" s="401">
        <v>44344</v>
      </c>
      <c r="O4" s="401">
        <v>307001</v>
      </c>
      <c r="P4" s="401">
        <v>748319</v>
      </c>
      <c r="Q4" s="292">
        <v>7</v>
      </c>
      <c r="R4" s="292">
        <v>74</v>
      </c>
      <c r="S4" s="292">
        <v>95</v>
      </c>
      <c r="T4" s="292">
        <v>1136</v>
      </c>
      <c r="U4" s="292">
        <v>13689</v>
      </c>
      <c r="V4" s="292">
        <v>2270</v>
      </c>
      <c r="W4" s="292">
        <v>0</v>
      </c>
      <c r="X4" s="292">
        <v>9</v>
      </c>
      <c r="Y4" s="359">
        <v>364.41100662702672</v>
      </c>
      <c r="Z4" s="292">
        <v>12206</v>
      </c>
      <c r="AA4" s="392">
        <v>2.1661400000000001E-4</v>
      </c>
      <c r="AB4" s="398">
        <v>9.2464019751992782E-2</v>
      </c>
      <c r="AC4" s="398">
        <v>0.1795406569548664</v>
      </c>
      <c r="AD4" s="398">
        <v>1.3696522006771314E-2</v>
      </c>
      <c r="AE4" s="398">
        <v>1.4309210526315789E-2</v>
      </c>
      <c r="AF4" s="395">
        <v>2.65E-3</v>
      </c>
      <c r="AG4" s="292">
        <v>1.1000000000000001E-3</v>
      </c>
      <c r="AH4" s="292">
        <v>5.5000000000000003E-4</v>
      </c>
      <c r="AI4" s="381">
        <v>16000</v>
      </c>
    </row>
    <row r="5" spans="2:35" ht="20.100000000000001" customHeight="1">
      <c r="B5" s="482" t="s">
        <v>277</v>
      </c>
      <c r="C5" s="483"/>
      <c r="D5" s="118" t="s">
        <v>280</v>
      </c>
      <c r="I5" s="379" t="s">
        <v>575</v>
      </c>
      <c r="J5" s="270">
        <v>713</v>
      </c>
      <c r="K5" s="270">
        <v>1007</v>
      </c>
      <c r="L5" s="294">
        <v>29915</v>
      </c>
      <c r="M5" s="270">
        <v>35326</v>
      </c>
      <c r="N5" s="401">
        <v>16584</v>
      </c>
      <c r="O5" s="401">
        <v>79361</v>
      </c>
      <c r="P5" s="401">
        <v>202040</v>
      </c>
      <c r="Q5" s="292">
        <v>1.5</v>
      </c>
      <c r="R5" s="292">
        <v>52</v>
      </c>
      <c r="S5" s="292">
        <v>51</v>
      </c>
      <c r="T5" s="292">
        <v>565</v>
      </c>
      <c r="U5" s="292">
        <v>3539</v>
      </c>
      <c r="V5" s="292">
        <v>589</v>
      </c>
      <c r="W5" s="292">
        <v>0</v>
      </c>
      <c r="X5" s="292">
        <v>1</v>
      </c>
      <c r="Y5" s="359">
        <v>123.96285721769652</v>
      </c>
      <c r="Z5" s="292">
        <v>3156</v>
      </c>
      <c r="AA5" s="392">
        <v>6.6275640388375247E-5</v>
      </c>
      <c r="AB5" s="398">
        <v>9.0110784381020992E-2</v>
      </c>
      <c r="AC5" s="398">
        <v>0.17954576841470918</v>
      </c>
      <c r="AD5" s="398">
        <v>5.131964809384164E-3</v>
      </c>
      <c r="AE5" s="398">
        <v>1.82328190743338E-2</v>
      </c>
      <c r="AF5" s="395">
        <v>7.2999999999999996E-4</v>
      </c>
      <c r="AG5" s="292">
        <v>2.9999999999999997E-4</v>
      </c>
      <c r="AH5" s="292">
        <v>1.4999999999999999E-4</v>
      </c>
      <c r="AI5" s="381">
        <v>2000</v>
      </c>
    </row>
    <row r="6" spans="2:35" ht="20.100000000000001" customHeight="1">
      <c r="B6" s="484" t="s">
        <v>278</v>
      </c>
      <c r="C6" s="485"/>
      <c r="D6" s="118" t="s">
        <v>280</v>
      </c>
      <c r="I6" s="379" t="s">
        <v>576</v>
      </c>
      <c r="J6" s="270">
        <v>665</v>
      </c>
      <c r="K6" s="270">
        <v>1174</v>
      </c>
      <c r="L6" s="294">
        <v>30510</v>
      </c>
      <c r="M6" s="270">
        <v>42191</v>
      </c>
      <c r="N6" s="401">
        <v>21661</v>
      </c>
      <c r="O6" s="401">
        <v>90847</v>
      </c>
      <c r="P6" s="401">
        <v>212692</v>
      </c>
      <c r="Q6" s="292">
        <v>1</v>
      </c>
      <c r="R6" s="292">
        <v>15</v>
      </c>
      <c r="S6" s="292">
        <v>52</v>
      </c>
      <c r="T6" s="292">
        <v>616</v>
      </c>
      <c r="U6" s="292">
        <v>4051</v>
      </c>
      <c r="V6" s="292">
        <v>914</v>
      </c>
      <c r="W6" s="292">
        <v>0</v>
      </c>
      <c r="X6" s="292">
        <v>4</v>
      </c>
      <c r="Y6" s="359">
        <v>129.21659638001938</v>
      </c>
      <c r="Z6" s="292">
        <v>3612</v>
      </c>
      <c r="AA6" s="392">
        <v>2.4665474502065732E-4</v>
      </c>
      <c r="AB6" s="398">
        <v>8.5413939287584367E-2</v>
      </c>
      <c r="AC6" s="398">
        <v>0.17954448351792815</v>
      </c>
      <c r="AD6" s="398">
        <v>1.3271400132714001E-3</v>
      </c>
      <c r="AE6" s="398">
        <v>1.6531409678388939E-3</v>
      </c>
      <c r="AF6" s="395">
        <v>1.7000000000000001E-4</v>
      </c>
      <c r="AG6" s="292">
        <v>6.9999999999999994E-5</v>
      </c>
      <c r="AH6" s="292">
        <v>3.0000000000000001E-5</v>
      </c>
      <c r="AI6" s="381">
        <v>1000</v>
      </c>
    </row>
    <row r="7" spans="2:35" ht="20.100000000000001" customHeight="1">
      <c r="B7" s="472" t="s">
        <v>279</v>
      </c>
      <c r="C7" s="473"/>
      <c r="D7" s="118" t="s">
        <v>280</v>
      </c>
      <c r="I7" s="379" t="s">
        <v>577</v>
      </c>
      <c r="J7" s="270">
        <v>24275</v>
      </c>
      <c r="K7" s="270">
        <v>12543</v>
      </c>
      <c r="L7" s="294">
        <v>235897</v>
      </c>
      <c r="M7" s="270">
        <v>340415</v>
      </c>
      <c r="N7" s="401">
        <v>162276</v>
      </c>
      <c r="O7" s="401">
        <v>994455</v>
      </c>
      <c r="P7" s="401">
        <v>2312196</v>
      </c>
      <c r="Q7" s="292">
        <v>19.5</v>
      </c>
      <c r="R7" s="292">
        <v>144</v>
      </c>
      <c r="S7" s="292">
        <v>214</v>
      </c>
      <c r="T7" s="292">
        <v>4383</v>
      </c>
      <c r="U7" s="292">
        <v>44343</v>
      </c>
      <c r="V7" s="292">
        <v>4828</v>
      </c>
      <c r="W7" s="292">
        <v>0</v>
      </c>
      <c r="X7" s="292">
        <v>26</v>
      </c>
      <c r="Y7" s="359">
        <v>1151.4424915525055</v>
      </c>
      <c r="Z7" s="292">
        <v>39539</v>
      </c>
      <c r="AA7" s="392">
        <v>2.171697766492374E-4</v>
      </c>
      <c r="AB7" s="398">
        <v>8.7684871709724069E-2</v>
      </c>
      <c r="AC7" s="398">
        <v>0.1795414559320582</v>
      </c>
      <c r="AD7" s="398">
        <v>7.0904744540334673E-3</v>
      </c>
      <c r="AE7" s="398">
        <v>5.0010710695865667E-3</v>
      </c>
      <c r="AF7" s="395">
        <v>1.58E-3</v>
      </c>
      <c r="AG7" s="292">
        <v>6.6E-4</v>
      </c>
      <c r="AH7" s="292">
        <v>3.3E-4</v>
      </c>
      <c r="AI7" s="381">
        <v>30000</v>
      </c>
    </row>
    <row r="8" spans="2:35" ht="20.100000000000001" customHeight="1">
      <c r="B8" s="489" t="s">
        <v>303</v>
      </c>
      <c r="C8" s="490"/>
      <c r="D8" s="118" t="s">
        <v>280</v>
      </c>
      <c r="I8" s="379" t="s">
        <v>578</v>
      </c>
      <c r="J8" s="270">
        <v>7468</v>
      </c>
      <c r="K8" s="270">
        <v>7279</v>
      </c>
      <c r="L8" s="294">
        <v>229299</v>
      </c>
      <c r="M8" s="270">
        <v>286394</v>
      </c>
      <c r="N8" s="401">
        <v>95279</v>
      </c>
      <c r="O8" s="401">
        <v>599280</v>
      </c>
      <c r="P8" s="401">
        <v>1484211</v>
      </c>
      <c r="Q8" s="292">
        <v>14</v>
      </c>
      <c r="R8" s="292">
        <v>76</v>
      </c>
      <c r="S8" s="292">
        <v>117</v>
      </c>
      <c r="T8" s="292">
        <v>2875</v>
      </c>
      <c r="U8" s="292">
        <v>26722</v>
      </c>
      <c r="V8" s="292">
        <v>3092</v>
      </c>
      <c r="W8" s="292">
        <v>0</v>
      </c>
      <c r="X8" s="292">
        <v>15</v>
      </c>
      <c r="Y8" s="359">
        <v>888.96565995232731</v>
      </c>
      <c r="Z8" s="292">
        <v>23827</v>
      </c>
      <c r="AA8" s="392">
        <v>1.3826987514230276E-4</v>
      </c>
      <c r="AB8" s="398">
        <v>0.10614049184312017</v>
      </c>
      <c r="AC8" s="398">
        <v>0.17954178003864504</v>
      </c>
      <c r="AD8" s="398">
        <v>2.932897484790702E-2</v>
      </c>
      <c r="AE8" s="398">
        <v>1.5332083556507767E-2</v>
      </c>
      <c r="AF8" s="395">
        <v>4.7000000000000002E-3</v>
      </c>
      <c r="AG8" s="292">
        <v>1.9599999999999999E-3</v>
      </c>
      <c r="AH8" s="292">
        <v>9.7999999999999997E-4</v>
      </c>
      <c r="AI8" s="381">
        <v>20000</v>
      </c>
    </row>
    <row r="9" spans="2:35" ht="20.100000000000001" customHeight="1">
      <c r="B9" s="489" t="s">
        <v>363</v>
      </c>
      <c r="C9" s="490"/>
      <c r="D9" s="118" t="s">
        <v>280</v>
      </c>
      <c r="I9" s="379" t="s">
        <v>579</v>
      </c>
      <c r="J9" s="270">
        <v>245</v>
      </c>
      <c r="K9" s="270">
        <v>444</v>
      </c>
      <c r="L9" s="294">
        <v>13723</v>
      </c>
      <c r="M9" s="270">
        <v>11002</v>
      </c>
      <c r="N9" s="401">
        <v>4386</v>
      </c>
      <c r="O9" s="401">
        <v>30658</v>
      </c>
      <c r="P9" s="401">
        <v>71468</v>
      </c>
      <c r="Q9" s="292">
        <v>0.35</v>
      </c>
      <c r="R9" s="292">
        <v>10</v>
      </c>
      <c r="S9" s="292">
        <v>17</v>
      </c>
      <c r="T9" s="292">
        <v>191</v>
      </c>
      <c r="U9" s="292">
        <v>1367</v>
      </c>
      <c r="V9" s="292">
        <v>209</v>
      </c>
      <c r="W9" s="292">
        <v>0</v>
      </c>
      <c r="X9" s="292">
        <v>1</v>
      </c>
      <c r="Y9" s="359">
        <v>51.706760615029992</v>
      </c>
      <c r="Z9" s="292">
        <v>1219</v>
      </c>
      <c r="AA9" s="392">
        <v>1.408153207068929E-4</v>
      </c>
      <c r="AB9" s="398">
        <v>0.10076279946132365</v>
      </c>
      <c r="AC9" s="398">
        <v>0.17954229690408158</v>
      </c>
      <c r="AD9" s="398">
        <v>3.5273368606701938E-3</v>
      </c>
      <c r="AE9" s="398">
        <v>4.086636697997548E-4</v>
      </c>
      <c r="AF9" s="395">
        <v>5.8E-4</v>
      </c>
      <c r="AG9" s="292">
        <v>2.4000000000000001E-4</v>
      </c>
      <c r="AH9" s="292">
        <v>1.2E-4</v>
      </c>
      <c r="AI9" s="381">
        <v>750</v>
      </c>
    </row>
    <row r="10" spans="2:35" ht="20.100000000000001" customHeight="1">
      <c r="B10" s="470" t="s">
        <v>545</v>
      </c>
      <c r="C10" s="471"/>
      <c r="D10" s="369">
        <v>0.5</v>
      </c>
      <c r="I10" s="379" t="s">
        <v>580</v>
      </c>
      <c r="J10" s="270">
        <v>370</v>
      </c>
      <c r="K10" s="270">
        <v>833</v>
      </c>
      <c r="L10" s="294">
        <v>23955</v>
      </c>
      <c r="M10" s="270">
        <v>31993</v>
      </c>
      <c r="N10" s="401">
        <v>17256</v>
      </c>
      <c r="O10" s="401">
        <v>64308</v>
      </c>
      <c r="P10" s="401">
        <v>132611</v>
      </c>
      <c r="Q10" s="292">
        <v>1.5</v>
      </c>
      <c r="R10" s="292">
        <v>22</v>
      </c>
      <c r="S10" s="292">
        <v>28</v>
      </c>
      <c r="T10" s="292">
        <v>401</v>
      </c>
      <c r="U10" s="292">
        <v>2868</v>
      </c>
      <c r="V10" s="292">
        <v>386</v>
      </c>
      <c r="W10" s="292">
        <v>0</v>
      </c>
      <c r="X10" s="292">
        <v>0</v>
      </c>
      <c r="Y10" s="359">
        <v>71.835398276449183</v>
      </c>
      <c r="Z10" s="292">
        <v>2557</v>
      </c>
      <c r="AA10" s="392">
        <v>0</v>
      </c>
      <c r="AB10" s="398">
        <v>7.7913330518533094E-2</v>
      </c>
      <c r="AC10" s="398">
        <v>0.17953877603168519</v>
      </c>
      <c r="AD10" s="398">
        <v>4.911591355599214E-3</v>
      </c>
      <c r="AE10" s="398">
        <v>5.406866720735334E-4</v>
      </c>
      <c r="AF10" s="395">
        <v>5.9000000000000003E-4</v>
      </c>
      <c r="AG10" s="292">
        <v>2.5000000000000001E-4</v>
      </c>
      <c r="AH10" s="292">
        <v>1.2E-4</v>
      </c>
      <c r="AI10" s="381">
        <v>1500</v>
      </c>
    </row>
    <row r="11" spans="2:35" ht="18.95" customHeight="1">
      <c r="B11" s="489" t="s">
        <v>364</v>
      </c>
      <c r="C11" s="490"/>
      <c r="D11" s="118" t="s">
        <v>280</v>
      </c>
      <c r="I11" s="379" t="s">
        <v>581</v>
      </c>
      <c r="J11" s="270">
        <v>286</v>
      </c>
      <c r="K11" s="270">
        <v>665</v>
      </c>
      <c r="L11" s="294">
        <v>19666</v>
      </c>
      <c r="M11" s="270">
        <v>28439</v>
      </c>
      <c r="N11" s="401">
        <v>13377</v>
      </c>
      <c r="O11" s="401">
        <v>52864</v>
      </c>
      <c r="P11" s="401">
        <v>106493</v>
      </c>
      <c r="Q11" s="292">
        <v>1</v>
      </c>
      <c r="R11" s="292">
        <v>6</v>
      </c>
      <c r="S11" s="292">
        <v>32</v>
      </c>
      <c r="T11" s="292">
        <v>482</v>
      </c>
      <c r="U11" s="292">
        <v>2357</v>
      </c>
      <c r="V11" s="292">
        <v>296</v>
      </c>
      <c r="W11" s="292">
        <v>0</v>
      </c>
      <c r="X11" s="292">
        <v>2</v>
      </c>
      <c r="Y11" s="359">
        <v>113.59973282342773</v>
      </c>
      <c r="Z11" s="292">
        <v>2102</v>
      </c>
      <c r="AA11" s="392">
        <v>2.1006200000000001E-4</v>
      </c>
      <c r="AB11" s="398">
        <v>9.0696953751992784E-2</v>
      </c>
      <c r="AC11" s="398">
        <v>0.17954079712266321</v>
      </c>
      <c r="AD11" s="398">
        <v>3.7128712871287127E-3</v>
      </c>
      <c r="AE11" s="398">
        <v>1.048951048951049E-3</v>
      </c>
      <c r="AF11" s="395">
        <v>5.5000000000000003E-4</v>
      </c>
      <c r="AG11" s="292">
        <v>2.3000000000000001E-4</v>
      </c>
      <c r="AH11" s="292">
        <v>1.1E-4</v>
      </c>
      <c r="AI11" s="381">
        <v>1000</v>
      </c>
    </row>
    <row r="12" spans="2:35" ht="20.100000000000001" customHeight="1" thickBot="1">
      <c r="B12" s="472" t="s">
        <v>365</v>
      </c>
      <c r="C12" s="473"/>
      <c r="D12" s="118" t="s">
        <v>280</v>
      </c>
      <c r="I12" s="380" t="s">
        <v>582</v>
      </c>
      <c r="J12" s="271">
        <v>350</v>
      </c>
      <c r="K12" s="271">
        <v>135</v>
      </c>
      <c r="L12" s="295">
        <v>4452</v>
      </c>
      <c r="M12" s="271">
        <v>5375</v>
      </c>
      <c r="N12" s="402">
        <v>2728</v>
      </c>
      <c r="O12" s="402">
        <v>11543</v>
      </c>
      <c r="P12" s="402">
        <v>22121</v>
      </c>
      <c r="Q12" s="241">
        <v>0.28000000000000003</v>
      </c>
      <c r="R12" s="241">
        <v>3</v>
      </c>
      <c r="S12" s="241">
        <v>2</v>
      </c>
      <c r="T12" s="241">
        <v>52</v>
      </c>
      <c r="U12" s="241">
        <v>515</v>
      </c>
      <c r="V12" s="241">
        <v>66</v>
      </c>
      <c r="W12" s="241">
        <v>0</v>
      </c>
      <c r="X12" s="241">
        <v>1</v>
      </c>
      <c r="Y12" s="360">
        <v>13.307960290227099</v>
      </c>
      <c r="Z12" s="241">
        <v>459</v>
      </c>
      <c r="AA12" s="393">
        <v>4.5745699999999998E-4</v>
      </c>
      <c r="AB12" s="399">
        <v>8.2584614751992774E-2</v>
      </c>
      <c r="AC12" s="399">
        <v>0.17955064737242954</v>
      </c>
      <c r="AD12" s="399">
        <v>2.903225806451613E-2</v>
      </c>
      <c r="AE12" s="399">
        <v>1.143837575064341E-3</v>
      </c>
      <c r="AF12" s="396">
        <v>7.2100000000000003E-3</v>
      </c>
      <c r="AG12" s="241">
        <v>3.0000000000000001E-3</v>
      </c>
      <c r="AH12" s="241">
        <v>1.5E-3</v>
      </c>
      <c r="AI12" s="382">
        <v>1000</v>
      </c>
    </row>
    <row r="13" spans="2:35" ht="20.100000000000001" customHeight="1" thickBot="1">
      <c r="B13" s="472" t="s">
        <v>366</v>
      </c>
      <c r="C13" s="473"/>
      <c r="D13" s="118" t="s">
        <v>280</v>
      </c>
      <c r="I13" s="380" t="s">
        <v>542</v>
      </c>
      <c r="J13" s="383">
        <v>41751</v>
      </c>
      <c r="K13" s="383">
        <v>32199</v>
      </c>
      <c r="L13" s="383">
        <v>760095</v>
      </c>
      <c r="M13" s="383">
        <v>997350</v>
      </c>
      <c r="N13" s="403">
        <v>423618</v>
      </c>
      <c r="O13" s="403">
        <v>2568496</v>
      </c>
      <c r="P13" s="403">
        <v>6012144</v>
      </c>
      <c r="Q13" s="383">
        <v>52.330000000000005</v>
      </c>
      <c r="R13" s="383">
        <v>488</v>
      </c>
      <c r="S13" s="383">
        <v>695</v>
      </c>
      <c r="T13" s="383">
        <v>12313</v>
      </c>
      <c r="U13" s="383">
        <v>114531</v>
      </c>
      <c r="V13" s="383">
        <v>14592</v>
      </c>
      <c r="W13" s="383">
        <v>0</v>
      </c>
      <c r="X13" s="383">
        <v>70</v>
      </c>
      <c r="Y13" s="383">
        <v>3359</v>
      </c>
      <c r="Z13" s="383">
        <v>102123</v>
      </c>
      <c r="AA13" s="394">
        <v>1.8679699999999999E-4</v>
      </c>
      <c r="AB13" s="400">
        <v>9.4387716751992784E-2</v>
      </c>
      <c r="AC13" s="400">
        <v>0.179541812</v>
      </c>
      <c r="AD13" s="400">
        <v>1.2472445692107693E-2</v>
      </c>
      <c r="AE13" s="400">
        <v>8.3854680628874176E-3</v>
      </c>
      <c r="AF13" s="397">
        <v>2.4399999999999999E-3</v>
      </c>
      <c r="AG13" s="384">
        <v>9.5E-4</v>
      </c>
      <c r="AH13" s="384">
        <v>4.6999999999999999E-4</v>
      </c>
      <c r="AI13" s="382">
        <v>80750</v>
      </c>
    </row>
    <row r="14" spans="2:35" ht="20.100000000000001" customHeight="1">
      <c r="B14" s="472" t="s">
        <v>327</v>
      </c>
      <c r="C14" s="473"/>
      <c r="D14" s="370">
        <v>4</v>
      </c>
      <c r="I14" s="368"/>
      <c r="J14" s="207"/>
      <c r="K14" s="207"/>
      <c r="L14" s="207"/>
      <c r="M14"/>
      <c r="U14" s="334"/>
      <c r="V14" s="333"/>
      <c r="X14" s="331"/>
      <c r="Y14" s="338"/>
      <c r="Z14" s="340"/>
      <c r="AA14" s="340"/>
      <c r="AB14" s="341"/>
      <c r="AC14" s="340"/>
      <c r="AD14" s="340"/>
    </row>
    <row r="15" spans="2:35" ht="20.100000000000001" customHeight="1" thickBot="1">
      <c r="B15" s="489" t="s">
        <v>367</v>
      </c>
      <c r="C15" s="490"/>
      <c r="D15" s="118" t="s">
        <v>280</v>
      </c>
      <c r="I15" s="272" t="s">
        <v>525</v>
      </c>
      <c r="J15" s="151"/>
      <c r="K15" s="151"/>
      <c r="L15" s="151"/>
      <c r="M15"/>
      <c r="N15"/>
      <c r="O15"/>
      <c r="P15"/>
      <c r="Q15"/>
      <c r="R15"/>
      <c r="S15"/>
    </row>
    <row r="16" spans="2:35" ht="20.100000000000001" customHeight="1" thickBot="1">
      <c r="B16" s="489" t="s">
        <v>368</v>
      </c>
      <c r="C16" s="490"/>
      <c r="D16" s="118" t="s">
        <v>280</v>
      </c>
      <c r="I16" s="463" t="s">
        <v>573</v>
      </c>
      <c r="J16" s="464">
        <v>1907</v>
      </c>
      <c r="K16" s="464">
        <v>4357</v>
      </c>
      <c r="L16" s="465">
        <v>86446</v>
      </c>
      <c r="M16" s="464">
        <v>113360</v>
      </c>
      <c r="N16" s="466">
        <v>45727</v>
      </c>
      <c r="O16" s="466">
        <v>338179</v>
      </c>
      <c r="P16" s="466">
        <v>719993</v>
      </c>
      <c r="Q16" s="467">
        <v>6.2</v>
      </c>
      <c r="R16" s="467">
        <v>86</v>
      </c>
      <c r="S16" s="467">
        <v>87</v>
      </c>
      <c r="T16" s="467">
        <v>1612</v>
      </c>
      <c r="U16" s="467">
        <v>15080</v>
      </c>
      <c r="V16" s="467">
        <v>1942</v>
      </c>
      <c r="W16" s="467">
        <v>0</v>
      </c>
      <c r="X16" s="467">
        <v>11</v>
      </c>
      <c r="Y16" s="467">
        <v>450.55153626529062</v>
      </c>
      <c r="Z16" s="467">
        <v>13446</v>
      </c>
      <c r="AA16" s="467">
        <v>2.5474500000000001E-4</v>
      </c>
      <c r="AB16" s="467">
        <v>9.7749120751992782E-2</v>
      </c>
      <c r="AC16" s="467">
        <v>0.17954229690408158</v>
      </c>
      <c r="AD16" s="467">
        <v>8.8495575221238937E-3</v>
      </c>
      <c r="AE16" s="467">
        <v>1.0905468463272689E-2</v>
      </c>
      <c r="AF16" s="467">
        <v>1.23E-3</v>
      </c>
      <c r="AG16" s="467">
        <v>5.1000000000000004E-4</v>
      </c>
      <c r="AH16" s="467">
        <v>2.5999999999999998E-4</v>
      </c>
      <c r="AI16" s="468">
        <v>7500</v>
      </c>
    </row>
    <row r="17" spans="2:30" ht="20.100000000000001" customHeight="1" thickBot="1">
      <c r="B17" s="472" t="s">
        <v>369</v>
      </c>
      <c r="C17" s="473"/>
      <c r="D17" s="118" t="s">
        <v>280</v>
      </c>
      <c r="M17" s="208"/>
      <c r="U17" s="335"/>
      <c r="V17" s="332"/>
      <c r="X17" s="331"/>
      <c r="Y17" s="338"/>
      <c r="Z17" s="339"/>
      <c r="AA17" s="339"/>
      <c r="AB17" s="335"/>
      <c r="AC17" s="339"/>
      <c r="AD17" s="339"/>
    </row>
    <row r="18" spans="2:30" ht="20.100000000000001" customHeight="1">
      <c r="B18" s="489" t="s">
        <v>434</v>
      </c>
      <c r="C18" s="490"/>
      <c r="D18" s="118" t="s">
        <v>280</v>
      </c>
      <c r="I18" s="540" t="s">
        <v>599</v>
      </c>
      <c r="J18" s="541"/>
      <c r="K18" s="541"/>
      <c r="L18" s="541"/>
      <c r="M18" s="542"/>
      <c r="P18" s="199"/>
      <c r="Q18" s="200"/>
      <c r="U18" s="335"/>
      <c r="V18" s="332"/>
      <c r="W18" s="332"/>
      <c r="X18" s="331"/>
      <c r="Y18" s="257"/>
    </row>
    <row r="19" spans="2:30" ht="20.100000000000001" customHeight="1">
      <c r="B19" s="489" t="e">
        <f>"(13) Proportion of index cases sampled for CI is "&amp;#REF!&amp;""</f>
        <v>#REF!</v>
      </c>
      <c r="C19" s="490"/>
      <c r="D19" s="118" t="s">
        <v>280</v>
      </c>
      <c r="I19" s="389" t="s">
        <v>600</v>
      </c>
      <c r="J19" s="547" t="s">
        <v>506</v>
      </c>
      <c r="K19" s="547"/>
      <c r="L19" s="547"/>
      <c r="M19" s="548"/>
      <c r="Q19" s="200"/>
      <c r="U19" s="335"/>
      <c r="V19" s="332"/>
      <c r="W19" s="332"/>
      <c r="X19" s="331"/>
      <c r="Y19" s="337"/>
      <c r="Z19" s="331"/>
    </row>
    <row r="20" spans="2:30" ht="20.100000000000001" customHeight="1">
      <c r="B20" s="489" t="s">
        <v>432</v>
      </c>
      <c r="C20" s="490"/>
      <c r="D20" s="118" t="s">
        <v>280</v>
      </c>
      <c r="I20" s="405">
        <f>K16</f>
        <v>4357</v>
      </c>
      <c r="J20" s="545" t="s">
        <v>590</v>
      </c>
      <c r="K20" s="545"/>
      <c r="L20" s="545"/>
      <c r="M20" s="546"/>
      <c r="N20" s="336"/>
      <c r="V20" s="257"/>
      <c r="W20" s="257"/>
      <c r="X20" s="257"/>
      <c r="Y20" s="257"/>
    </row>
    <row r="21" spans="2:30" ht="20.100000000000001" customHeight="1" thickBot="1">
      <c r="B21" s="472" t="s">
        <v>538</v>
      </c>
      <c r="C21" s="473"/>
      <c r="D21" s="118" t="s">
        <v>280</v>
      </c>
      <c r="E21"/>
      <c r="F21"/>
      <c r="G21" s="94"/>
      <c r="I21" s="406">
        <f>J16</f>
        <v>1907</v>
      </c>
      <c r="J21" s="543" t="s">
        <v>583</v>
      </c>
      <c r="K21" s="543"/>
      <c r="L21" s="543"/>
      <c r="M21" s="544"/>
      <c r="V21" s="257"/>
      <c r="W21" s="257"/>
      <c r="X21" s="257"/>
      <c r="Y21" s="257"/>
    </row>
    <row r="22" spans="2:30" ht="20.100000000000001" customHeight="1">
      <c r="B22" s="472" t="s">
        <v>539</v>
      </c>
      <c r="C22" s="473"/>
      <c r="D22" s="358">
        <v>10</v>
      </c>
      <c r="E22"/>
      <c r="F22"/>
      <c r="G22" s="94"/>
      <c r="I22" s="405">
        <f>IF(D21="OFF",K16*AD16,K16*AD16*D22)</f>
        <v>38.557522123893804</v>
      </c>
      <c r="J22" s="545" t="s">
        <v>584</v>
      </c>
      <c r="K22" s="545"/>
      <c r="L22" s="545"/>
      <c r="M22" s="546"/>
      <c r="V22" s="257"/>
      <c r="W22" s="257"/>
      <c r="X22" s="257"/>
      <c r="Y22" s="257"/>
    </row>
    <row r="23" spans="2:30" ht="20.100000000000001" customHeight="1" thickBot="1">
      <c r="B23" s="472" t="s">
        <v>535</v>
      </c>
      <c r="C23" s="473"/>
      <c r="D23" s="118" t="s">
        <v>280</v>
      </c>
      <c r="E23"/>
      <c r="F23"/>
      <c r="G23" s="94"/>
      <c r="I23" s="406">
        <f>IF(D21="OFF",J16*AE16,J16*AE16*D22)</f>
        <v>20.796728359461017</v>
      </c>
      <c r="J23" s="543" t="s">
        <v>585</v>
      </c>
      <c r="K23" s="543"/>
      <c r="L23" s="543"/>
      <c r="M23" s="544"/>
      <c r="V23" s="257"/>
      <c r="W23" s="257"/>
      <c r="X23" s="257"/>
      <c r="Y23" s="257"/>
    </row>
    <row r="24" spans="2:30" ht="20.100000000000001" customHeight="1" thickBot="1">
      <c r="B24" s="512" t="s">
        <v>536</v>
      </c>
      <c r="C24" s="513"/>
      <c r="D24" s="357">
        <v>0.9</v>
      </c>
      <c r="E24"/>
      <c r="F24"/>
      <c r="G24" s="94"/>
      <c r="I24" s="390">
        <f>D80/(D80+D81*16)</f>
        <v>0.85143520378554527</v>
      </c>
      <c r="J24" s="545" t="s">
        <v>586</v>
      </c>
      <c r="K24" s="545"/>
      <c r="L24" s="545"/>
      <c r="M24" s="546"/>
      <c r="V24" s="257"/>
      <c r="W24" s="257"/>
      <c r="X24" s="257"/>
      <c r="Y24" s="257"/>
    </row>
    <row r="25" spans="2:30" ht="20.100000000000001" customHeight="1" thickBot="1">
      <c r="B25" s="385"/>
      <c r="C25" s="385"/>
      <c r="D25" s="386"/>
      <c r="E25"/>
      <c r="F25"/>
      <c r="G25" s="94"/>
      <c r="I25" s="391">
        <f>1-I24</f>
        <v>0.14856479621445473</v>
      </c>
      <c r="J25" s="543" t="s">
        <v>587</v>
      </c>
      <c r="K25" s="543"/>
      <c r="L25" s="543"/>
      <c r="M25" s="544"/>
      <c r="V25" s="257"/>
      <c r="W25" s="257"/>
      <c r="X25" s="257"/>
      <c r="Y25" s="257"/>
    </row>
    <row r="26" spans="2:30" ht="20.100000000000001" customHeight="1" thickBot="1">
      <c r="B26" s="514" t="s">
        <v>588</v>
      </c>
      <c r="C26" s="515"/>
      <c r="D26" s="516"/>
      <c r="E26"/>
      <c r="F26"/>
      <c r="G26" s="94"/>
      <c r="I26" s="452" t="s">
        <v>601</v>
      </c>
      <c r="J26" s="387"/>
      <c r="K26" s="387"/>
      <c r="L26" s="388"/>
      <c r="V26" s="257"/>
      <c r="W26" s="257"/>
      <c r="X26" s="257"/>
      <c r="Y26" s="257"/>
    </row>
    <row r="27" spans="2:30" ht="20.100000000000001" customHeight="1">
      <c r="B27" s="517" t="str">
        <f>IF(SUM(D35:D159)=SUM(F35:F159),"NO","YES")</f>
        <v>NO</v>
      </c>
      <c r="C27" s="518"/>
      <c r="D27" s="518"/>
      <c r="E27"/>
      <c r="F27"/>
      <c r="G27" s="94"/>
      <c r="V27" s="257"/>
      <c r="W27" s="257"/>
      <c r="X27" s="257"/>
      <c r="Y27" s="257"/>
    </row>
    <row r="28" spans="2:30" ht="20.100000000000001" customHeight="1">
      <c r="B28" s="385"/>
      <c r="C28" s="385"/>
      <c r="D28" s="386"/>
      <c r="E28"/>
      <c r="F28"/>
      <c r="G28" s="94"/>
      <c r="V28" s="257"/>
      <c r="W28" s="257"/>
      <c r="X28" s="257"/>
      <c r="Y28" s="257"/>
    </row>
    <row r="29" spans="2:30" ht="16.5" thickBot="1">
      <c r="E29"/>
      <c r="F29"/>
      <c r="G29" s="94"/>
      <c r="Q29" s="366"/>
      <c r="V29" s="257"/>
      <c r="W29" s="257"/>
      <c r="X29" s="257"/>
      <c r="Y29" s="257"/>
    </row>
    <row r="30" spans="2:30" ht="21" customHeight="1" thickBot="1">
      <c r="B30" s="519" t="s">
        <v>589</v>
      </c>
      <c r="C30" s="520"/>
      <c r="D30" s="520"/>
      <c r="E30" s="520"/>
      <c r="F30" s="520"/>
      <c r="G30" s="521"/>
      <c r="I30" s="426" t="str">
        <f>"RESULTS TABLE - Cost per 100 people in "&amp;I16&amp;""</f>
        <v>RESULTS TABLE - Cost per 100 people in BRITISH COLUMBIA</v>
      </c>
      <c r="J30" s="427"/>
      <c r="K30" s="427"/>
      <c r="L30" s="427"/>
      <c r="M30" s="427"/>
      <c r="N30" s="427"/>
      <c r="O30" s="427"/>
      <c r="P30" s="428"/>
      <c r="Q30" s="429"/>
      <c r="R30" s="429"/>
      <c r="S30" s="429"/>
      <c r="T30" s="429"/>
      <c r="V30" s="257"/>
      <c r="W30" s="257"/>
      <c r="X30" s="257"/>
      <c r="Y30" s="257"/>
    </row>
    <row r="31" spans="2:30" ht="20.100000000000001" customHeight="1" thickBot="1">
      <c r="B31" s="522"/>
      <c r="C31" s="523"/>
      <c r="D31" s="523"/>
      <c r="E31" s="523"/>
      <c r="F31" s="523"/>
      <c r="G31" s="524"/>
      <c r="I31" s="430"/>
      <c r="J31" s="430"/>
      <c r="K31" s="430"/>
      <c r="L31" s="430"/>
      <c r="M31" s="430"/>
      <c r="N31" s="430"/>
      <c r="O31" s="430"/>
      <c r="P31" s="430"/>
      <c r="Q31" s="440"/>
      <c r="R31" s="431"/>
      <c r="S31" s="431"/>
      <c r="V31" s="257"/>
      <c r="W31" s="257"/>
      <c r="X31" s="257"/>
      <c r="Y31" s="257"/>
    </row>
    <row r="32" spans="2:30" ht="68.099999999999994" customHeight="1" thickBot="1">
      <c r="B32" s="525"/>
      <c r="C32" s="526"/>
      <c r="D32" s="526"/>
      <c r="E32" s="526"/>
      <c r="F32" s="526"/>
      <c r="G32" s="527"/>
      <c r="I32" s="451" t="s">
        <v>0</v>
      </c>
      <c r="J32" s="433" t="s">
        <v>217</v>
      </c>
      <c r="K32" s="433" t="s">
        <v>591</v>
      </c>
      <c r="L32" s="433" t="s">
        <v>218</v>
      </c>
      <c r="M32" s="449" t="s">
        <v>282</v>
      </c>
      <c r="N32" s="449" t="s">
        <v>265</v>
      </c>
      <c r="O32" s="449" t="s">
        <v>219</v>
      </c>
      <c r="P32" s="450" t="s">
        <v>596</v>
      </c>
      <c r="Q32" s="207"/>
      <c r="R32" s="432"/>
      <c r="S32" s="257"/>
      <c r="T32" s="257"/>
      <c r="U32" s="257"/>
    </row>
    <row r="33" spans="2:21" ht="19.350000000000001" customHeight="1" thickBot="1">
      <c r="E33"/>
      <c r="F33"/>
      <c r="G33" s="94"/>
      <c r="I33" s="1" t="s">
        <v>225</v>
      </c>
      <c r="J33" s="175">
        <f>'Current Strategy'!L15</f>
        <v>1053.9280000000001</v>
      </c>
      <c r="K33" s="175">
        <f t="shared" ref="K33:K39" si="0">J33*$I$24+L33*$I$25</f>
        <v>1174.5056760341877</v>
      </c>
      <c r="L33" s="175">
        <f>'Expanded Contact Investigaton'!L23</f>
        <v>1865.544743041416</v>
      </c>
      <c r="M33" s="51">
        <f>'Testing CHW LTCF Employees+Res'!L22</f>
        <v>196.44447705671936</v>
      </c>
      <c r="N33" s="3">
        <f>'Testing Hospital Employees'!L22</f>
        <v>114.84677453383136</v>
      </c>
      <c r="O33" s="3">
        <f>'Testing Essential Workers'!L22</f>
        <v>383.99509469245572</v>
      </c>
      <c r="P33" s="3">
        <f>'Testing Schoolchildren &amp; Staff'!L24</f>
        <v>842.51124859297158</v>
      </c>
      <c r="Q33" s="207"/>
      <c r="R33" s="257"/>
      <c r="S33" s="257"/>
      <c r="T33" s="257"/>
      <c r="U33" s="257"/>
    </row>
    <row r="34" spans="2:21" ht="19.350000000000001" customHeight="1" thickBot="1">
      <c r="B34" s="100" t="s">
        <v>213</v>
      </c>
      <c r="C34" s="100" t="s">
        <v>210</v>
      </c>
      <c r="D34" s="108" t="s">
        <v>215</v>
      </c>
      <c r="E34" s="109" t="s">
        <v>211</v>
      </c>
      <c r="F34" s="107" t="s">
        <v>216</v>
      </c>
      <c r="G34" s="109" t="s">
        <v>212</v>
      </c>
      <c r="I34" s="1" t="s">
        <v>220</v>
      </c>
      <c r="J34" s="175">
        <f>'Current Strategy'!L174</f>
        <v>2489.2551120000003</v>
      </c>
      <c r="K34" s="175">
        <f t="shared" si="0"/>
        <v>2497.2109860515411</v>
      </c>
      <c r="L34" s="175">
        <f>'Expanded Contact Investigaton'!L146</f>
        <v>2542.8066548571433</v>
      </c>
      <c r="M34" s="51">
        <f>'Testing CHW LTCF Employees+Res'!L223</f>
        <v>10230.358961123044</v>
      </c>
      <c r="N34" s="3">
        <f>'Testing Hospital Employees'!L211</f>
        <v>1578.9483095358428</v>
      </c>
      <c r="O34" s="3">
        <f>'Testing Essential Workers'!L223</f>
        <v>9259.7584070116482</v>
      </c>
      <c r="P34" s="3">
        <f>'Testing Schoolchildren &amp; Staff'!L223</f>
        <v>10565.297303284298</v>
      </c>
      <c r="Q34" s="207"/>
      <c r="R34"/>
      <c r="S34"/>
    </row>
    <row r="35" spans="2:21" ht="17.100000000000001" customHeight="1">
      <c r="B35" s="474" t="s">
        <v>214</v>
      </c>
      <c r="C35" s="217" t="s">
        <v>14</v>
      </c>
      <c r="D35" s="218">
        <f t="shared" ref="D35:D67" si="1">F35</f>
        <v>24.612000000000002</v>
      </c>
      <c r="E35" s="219">
        <v>18.459000000000003</v>
      </c>
      <c r="F35" s="220">
        <v>24.612000000000002</v>
      </c>
      <c r="G35" s="219">
        <v>30.765000000000001</v>
      </c>
      <c r="I35" s="1" t="s">
        <v>221</v>
      </c>
      <c r="J35" s="175">
        <f>'Current Strategy'!L189</f>
        <v>263.32016017403322</v>
      </c>
      <c r="K35" s="175">
        <f t="shared" si="0"/>
        <v>235.69874057187494</v>
      </c>
      <c r="L35" s="175">
        <f>'Expanded Contact Investigaton'!L154</f>
        <v>77.398459300250849</v>
      </c>
      <c r="M35" s="51">
        <f>'Testing CHW LTCF Employees+Res'!L239</f>
        <v>48.343263093146462</v>
      </c>
      <c r="N35" s="3">
        <f>'Testing Hospital Employees'!L227</f>
        <v>24.561767187269734</v>
      </c>
      <c r="O35" s="3">
        <f>'Testing Essential Workers'!L238</f>
        <v>1007.0576112680586</v>
      </c>
      <c r="P35" s="3">
        <f>'Testing Schoolchildren &amp; Staff'!L238</f>
        <v>116.60928799536906</v>
      </c>
      <c r="Q35" s="207"/>
      <c r="R35"/>
      <c r="S35"/>
    </row>
    <row r="36" spans="2:21">
      <c r="B36" s="474"/>
      <c r="C36" s="217" t="s">
        <v>17</v>
      </c>
      <c r="D36" s="218">
        <f t="shared" si="1"/>
        <v>45.12</v>
      </c>
      <c r="E36" s="219">
        <v>33.839999999999996</v>
      </c>
      <c r="F36" s="220">
        <v>45.12</v>
      </c>
      <c r="G36" s="219">
        <v>56.4</v>
      </c>
      <c r="I36" s="1" t="s">
        <v>222</v>
      </c>
      <c r="J36" s="175">
        <f>'Current Strategy'!L287</f>
        <v>1992.5999980027416</v>
      </c>
      <c r="K36" s="175">
        <f t="shared" si="0"/>
        <v>1993.2235601742373</v>
      </c>
      <c r="L36" s="175">
        <f>'Expanded Contact Investigaton'!L265</f>
        <v>1996.7972384485583</v>
      </c>
      <c r="M36" s="51">
        <f>'Testing CHW LTCF Employees+Res'!L337</f>
        <v>1990.339059707655</v>
      </c>
      <c r="N36" s="3">
        <f>'Testing Hospital Employees'!L325</f>
        <v>1990.339059707655</v>
      </c>
      <c r="O36" s="3">
        <f>'Testing Essential Workers'!L336</f>
        <v>1990.0475863971051</v>
      </c>
      <c r="P36" s="3">
        <f>'Testing Schoolchildren &amp; Staff'!L336</f>
        <v>1990.1008944661157</v>
      </c>
      <c r="Q36" s="207"/>
      <c r="R36"/>
      <c r="S36"/>
    </row>
    <row r="37" spans="2:21" ht="18" customHeight="1">
      <c r="B37" s="474"/>
      <c r="C37" s="217" t="s">
        <v>12</v>
      </c>
      <c r="D37" s="218">
        <f t="shared" si="1"/>
        <v>19.8</v>
      </c>
      <c r="E37" s="219">
        <v>14.850000000000001</v>
      </c>
      <c r="F37" s="220">
        <v>19.8</v>
      </c>
      <c r="G37" s="219">
        <v>24.75</v>
      </c>
      <c r="I37" s="1" t="s">
        <v>223</v>
      </c>
      <c r="J37" s="175">
        <f>'Current Strategy'!L291</f>
        <v>72.742344825520007</v>
      </c>
      <c r="K37" s="175">
        <f t="shared" si="0"/>
        <v>78.337340601376226</v>
      </c>
      <c r="L37" s="175">
        <f>'Expanded Contact Investigaton'!L269</f>
        <v>110.40265142857142</v>
      </c>
      <c r="M37" s="51">
        <f>'Testing CHW LTCF Employees+Res'!L341</f>
        <v>66.228558194742845</v>
      </c>
      <c r="N37" s="3">
        <f>'Testing Hospital Employees'!L329</f>
        <v>66.228558194742845</v>
      </c>
      <c r="O37" s="3">
        <f>'Testing Essential Workers'!L340</f>
        <v>64.912513599999997</v>
      </c>
      <c r="P37" s="3">
        <f>'Testing Schoolchildren &amp; Staff'!L340</f>
        <v>64.626205239771409</v>
      </c>
      <c r="Q37" s="207"/>
      <c r="R37"/>
      <c r="S37"/>
    </row>
    <row r="38" spans="2:21" ht="16.350000000000001" customHeight="1">
      <c r="B38" s="474"/>
      <c r="C38" s="217" t="s">
        <v>13</v>
      </c>
      <c r="D38" s="218">
        <f t="shared" si="1"/>
        <v>39.6</v>
      </c>
      <c r="E38" s="219">
        <v>29.700000000000003</v>
      </c>
      <c r="F38" s="220">
        <v>39.6</v>
      </c>
      <c r="G38" s="219">
        <v>49.5</v>
      </c>
      <c r="I38" s="1" t="s">
        <v>224</v>
      </c>
      <c r="J38" s="175">
        <f>'Current Strategy'!L301</f>
        <v>120.87780038447522</v>
      </c>
      <c r="K38" s="327">
        <f t="shared" si="0"/>
        <v>179.08158093144618</v>
      </c>
      <c r="L38" s="175">
        <f>'Expanded Contact Investigaton'!L284</f>
        <v>512.65150472122286</v>
      </c>
      <c r="M38" s="51">
        <f>'Testing CHW LTCF Employees+Res'!L352</f>
        <v>22.52004824311086</v>
      </c>
      <c r="N38" s="3">
        <f>'Testing Hospital Employees'!L340</f>
        <v>22.520048243110864</v>
      </c>
      <c r="O38" s="3">
        <f>'Testing Essential Workers'!L361</f>
        <v>9.3375809788508448</v>
      </c>
      <c r="P38" s="3">
        <f>'Testing Schoolchildren &amp; Staff'!L361</f>
        <v>4.7603354009827834</v>
      </c>
      <c r="Q38" s="207"/>
      <c r="R38"/>
      <c r="S38"/>
    </row>
    <row r="39" spans="2:21" ht="16.5" thickBot="1">
      <c r="B39" s="474"/>
      <c r="C39" s="217" t="s">
        <v>27</v>
      </c>
      <c r="D39" s="218">
        <f t="shared" si="1"/>
        <v>30</v>
      </c>
      <c r="E39" s="219">
        <v>22.5</v>
      </c>
      <c r="F39" s="220">
        <v>30</v>
      </c>
      <c r="G39" s="219">
        <v>37.5</v>
      </c>
      <c r="I39" s="101" t="s">
        <v>226</v>
      </c>
      <c r="J39" s="328">
        <f>'Current Strategy'!L302</f>
        <v>5992.7234153867712</v>
      </c>
      <c r="K39" s="329">
        <f t="shared" si="0"/>
        <v>6158.0578843646645</v>
      </c>
      <c r="L39" s="328">
        <f>'Expanded Contact Investigaton'!L285</f>
        <v>7105.6012517971631</v>
      </c>
      <c r="M39" s="434">
        <f>'Testing CHW LTCF Employees+Res'!L353</f>
        <v>12554.234367418416</v>
      </c>
      <c r="N39" s="102">
        <f>'Testing Hospital Employees'!L341</f>
        <v>3797.4445174024522</v>
      </c>
      <c r="O39" s="102">
        <f>'Testing Essential Workers'!L362</f>
        <v>12715.10879394812</v>
      </c>
      <c r="P39" s="102">
        <f>'Testing Schoolchildren &amp; Staff'!L362</f>
        <v>13583.905274979506</v>
      </c>
      <c r="Q39" s="207"/>
      <c r="R39"/>
      <c r="S39"/>
    </row>
    <row r="40" spans="2:21" ht="16.5" thickBot="1">
      <c r="B40" s="474"/>
      <c r="C40" s="217" t="s">
        <v>6</v>
      </c>
      <c r="D40" s="218">
        <f t="shared" si="1"/>
        <v>24.276</v>
      </c>
      <c r="E40" s="219">
        <v>18.207000000000001</v>
      </c>
      <c r="F40" s="220">
        <v>24.276</v>
      </c>
      <c r="G40" s="219">
        <v>30.344999999999999</v>
      </c>
      <c r="I40" s="130"/>
      <c r="J40" s="131"/>
      <c r="K40" s="131"/>
      <c r="L40" s="131"/>
      <c r="M40" s="131"/>
      <c r="N40" s="131"/>
      <c r="O40" s="131"/>
      <c r="P40" s="131"/>
      <c r="Q40" s="56"/>
      <c r="R40" s="131"/>
      <c r="S40" s="131"/>
      <c r="T40" s="131"/>
    </row>
    <row r="41" spans="2:21" ht="19.5" thickBot="1">
      <c r="B41" s="474"/>
      <c r="C41" s="217" t="s">
        <v>21</v>
      </c>
      <c r="D41" s="218">
        <f t="shared" si="1"/>
        <v>26.004000000000001</v>
      </c>
      <c r="E41" s="219">
        <v>19.503</v>
      </c>
      <c r="F41" s="220">
        <v>26.004000000000001</v>
      </c>
      <c r="G41" s="219">
        <v>32.505000000000003</v>
      </c>
      <c r="I41" s="426" t="str">
        <f>"RESULTS TABLE - Cost for all persons tested in "&amp;I16&amp;""</f>
        <v>RESULTS TABLE - Cost for all persons tested in BRITISH COLUMBIA</v>
      </c>
      <c r="J41" s="427"/>
      <c r="K41" s="427"/>
      <c r="L41" s="427"/>
      <c r="M41" s="427"/>
      <c r="N41" s="427"/>
      <c r="O41" s="427"/>
      <c r="P41" s="428"/>
      <c r="Q41" s="56"/>
      <c r="R41" s="131"/>
      <c r="S41" s="131"/>
      <c r="T41" s="131"/>
    </row>
    <row r="42" spans="2:21" ht="16.5" thickBot="1">
      <c r="B42" s="474"/>
      <c r="C42" s="221" t="s">
        <v>386</v>
      </c>
      <c r="D42" s="218">
        <f t="shared" si="1"/>
        <v>30</v>
      </c>
      <c r="E42" s="219">
        <v>22.5</v>
      </c>
      <c r="F42" s="222">
        <v>30</v>
      </c>
      <c r="G42" s="219">
        <v>37.5</v>
      </c>
      <c r="I42" s="441"/>
      <c r="J42" s="442"/>
      <c r="K42" s="442"/>
      <c r="L42" s="442"/>
      <c r="M42" s="442"/>
      <c r="N42" s="442"/>
      <c r="O42" s="442"/>
      <c r="P42" s="442"/>
      <c r="Q42" s="366"/>
    </row>
    <row r="43" spans="2:21" ht="63.75" thickBot="1">
      <c r="B43" s="474"/>
      <c r="C43" s="217" t="s">
        <v>325</v>
      </c>
      <c r="D43" s="218">
        <f t="shared" si="1"/>
        <v>21.599999999999998</v>
      </c>
      <c r="E43" s="219">
        <v>16.2</v>
      </c>
      <c r="F43" s="220">
        <v>21.599999999999998</v>
      </c>
      <c r="G43" s="219">
        <v>26.999999999999996</v>
      </c>
      <c r="I43" s="451" t="s">
        <v>0</v>
      </c>
      <c r="J43" s="433" t="s">
        <v>217</v>
      </c>
      <c r="K43" s="433" t="s">
        <v>591</v>
      </c>
      <c r="L43" s="433" t="s">
        <v>218</v>
      </c>
      <c r="M43" s="449" t="s">
        <v>282</v>
      </c>
      <c r="N43" s="449" t="s">
        <v>265</v>
      </c>
      <c r="O43" s="449" t="s">
        <v>219</v>
      </c>
      <c r="P43" s="450" t="s">
        <v>596</v>
      </c>
      <c r="Q43" s="429"/>
      <c r="R43" s="429"/>
      <c r="S43" s="429"/>
      <c r="T43" s="429"/>
    </row>
    <row r="44" spans="2:21">
      <c r="B44" s="474"/>
      <c r="C44" s="217" t="s">
        <v>31</v>
      </c>
      <c r="D44" s="218">
        <f t="shared" si="1"/>
        <v>48</v>
      </c>
      <c r="E44" s="219">
        <v>36</v>
      </c>
      <c r="F44" s="223">
        <v>48</v>
      </c>
      <c r="G44" s="219">
        <v>60</v>
      </c>
      <c r="I44" s="1" t="s">
        <v>225</v>
      </c>
      <c r="J44" s="435">
        <f t="shared" ref="J44:J50" si="2">($D$80/100)*J33</f>
        <v>20098.406960000004</v>
      </c>
      <c r="K44" s="127">
        <f t="shared" ref="K44:K50" si="3">K33*($D$80+($D$81*$D$105))/100</f>
        <v>26305.963322152456</v>
      </c>
      <c r="L44" s="435">
        <f>IF(J19="no",($D$81/100)*L33*$D$105,L33*$I$21/100)</f>
        <v>6207.5563621524534</v>
      </c>
      <c r="M44" s="436">
        <f t="shared" ref="M44:M49" si="4">($D$87/100)*M33</f>
        <v>132861.29316777101</v>
      </c>
      <c r="N44" s="436">
        <f t="shared" ref="N44:N50" si="5">($D$84/100)*N33</f>
        <v>99280.442713515862</v>
      </c>
      <c r="O44" s="436">
        <f t="shared" ref="O44:O50" si="6">($D$85/100)*O33</f>
        <v>1298590.7712799998</v>
      </c>
      <c r="P44" s="436">
        <f t="shared" ref="P44:P50" si="7">($D$86/100)*P33</f>
        <v>6066022.0140819941</v>
      </c>
      <c r="Q44" s="366"/>
    </row>
    <row r="45" spans="2:21">
      <c r="B45" s="474"/>
      <c r="C45" s="217" t="s">
        <v>40</v>
      </c>
      <c r="D45" s="218">
        <f t="shared" si="1"/>
        <v>54.804000000000002</v>
      </c>
      <c r="E45" s="219">
        <v>41.103000000000002</v>
      </c>
      <c r="F45" s="222">
        <v>54.804000000000002</v>
      </c>
      <c r="G45" s="219">
        <v>68.504999999999995</v>
      </c>
      <c r="I45" s="1" t="s">
        <v>220</v>
      </c>
      <c r="J45" s="435">
        <f t="shared" si="2"/>
        <v>47470.094985840005</v>
      </c>
      <c r="K45" s="127">
        <f t="shared" si="3"/>
        <v>55931.224469310997</v>
      </c>
      <c r="L45" s="435">
        <f>IF(J19="no",($D$81/100)*L34*$D$105,L34*$I$21/100)</f>
        <v>8461.1294834710006</v>
      </c>
      <c r="M45" s="436">
        <f t="shared" si="4"/>
        <v>6919098.6761763487</v>
      </c>
      <c r="N45" s="436">
        <f t="shared" si="5"/>
        <v>1364937.6556613548</v>
      </c>
      <c r="O45" s="436">
        <f t="shared" si="6"/>
        <v>31314558.383247923</v>
      </c>
      <c r="P45" s="436">
        <f t="shared" si="7"/>
        <v>76069401.012835726</v>
      </c>
      <c r="Q45"/>
      <c r="R45"/>
      <c r="S45"/>
    </row>
    <row r="46" spans="2:21">
      <c r="B46" s="474"/>
      <c r="C46" s="217" t="s">
        <v>449</v>
      </c>
      <c r="D46" s="218">
        <f t="shared" si="1"/>
        <v>54.804000000000002</v>
      </c>
      <c r="E46" s="219">
        <v>41.103000000000002</v>
      </c>
      <c r="F46" s="222">
        <v>54.804000000000002</v>
      </c>
      <c r="G46" s="219">
        <v>68.504999999999995</v>
      </c>
      <c r="I46" s="1" t="s">
        <v>221</v>
      </c>
      <c r="J46" s="435">
        <f t="shared" si="2"/>
        <v>5021.5154545188134</v>
      </c>
      <c r="K46" s="127">
        <f t="shared" si="3"/>
        <v>5279.0570118801124</v>
      </c>
      <c r="L46" s="435">
        <f>IF(J19="no",($D$81/100)*L35*$D$105,L35*$I$21/100)</f>
        <v>257.5415573612986</v>
      </c>
      <c r="M46" s="436">
        <f t="shared" si="4"/>
        <v>32695.999127787749</v>
      </c>
      <c r="N46" s="436">
        <f t="shared" si="5"/>
        <v>21232.665262707196</v>
      </c>
      <c r="O46" s="436">
        <f t="shared" si="6"/>
        <v>3405657.3592102081</v>
      </c>
      <c r="P46" s="436">
        <f t="shared" si="7"/>
        <v>839578.71091649763</v>
      </c>
      <c r="Q46"/>
      <c r="R46"/>
      <c r="S46"/>
    </row>
    <row r="47" spans="2:21">
      <c r="B47" s="474"/>
      <c r="C47" s="217" t="s">
        <v>323</v>
      </c>
      <c r="D47" s="218">
        <f t="shared" si="1"/>
        <v>60</v>
      </c>
      <c r="E47" s="219">
        <v>45</v>
      </c>
      <c r="F47" s="222">
        <v>60</v>
      </c>
      <c r="G47" s="219">
        <v>75</v>
      </c>
      <c r="I47" s="1" t="s">
        <v>222</v>
      </c>
      <c r="J47" s="435">
        <f t="shared" si="2"/>
        <v>37998.881961912281</v>
      </c>
      <c r="K47" s="127">
        <f t="shared" si="3"/>
        <v>44643.177923022129</v>
      </c>
      <c r="L47" s="435">
        <f>IF(J19="no",($D$81/100)*L36*$D$105,L36*$I$21/100)</f>
        <v>6644.2959611098522</v>
      </c>
      <c r="M47" s="436">
        <f t="shared" si="4"/>
        <v>1346126.0162520783</v>
      </c>
      <c r="N47" s="436">
        <f t="shared" si="5"/>
        <v>1720568.5035548795</v>
      </c>
      <c r="O47" s="436">
        <f t="shared" si="6"/>
        <v>6729923.0272018658</v>
      </c>
      <c r="P47" s="436">
        <f t="shared" si="7"/>
        <v>14328587.13309342</v>
      </c>
      <c r="Q47"/>
      <c r="R47"/>
      <c r="S47"/>
    </row>
    <row r="48" spans="2:21">
      <c r="B48" s="474"/>
      <c r="C48" s="217" t="s">
        <v>354</v>
      </c>
      <c r="D48" s="218">
        <f t="shared" si="1"/>
        <v>39.995999999999995</v>
      </c>
      <c r="E48" s="219">
        <v>29.996999999999996</v>
      </c>
      <c r="F48" s="222">
        <v>39.995999999999995</v>
      </c>
      <c r="G48" s="219">
        <v>49.99499999999999</v>
      </c>
      <c r="I48" s="1" t="s">
        <v>223</v>
      </c>
      <c r="J48" s="435">
        <f t="shared" si="2"/>
        <v>1387.1965158226665</v>
      </c>
      <c r="K48" s="127">
        <f t="shared" si="3"/>
        <v>1754.5587481305483</v>
      </c>
      <c r="L48" s="435">
        <f>IF(J19="no",($D$81/100)*L37*$D$105,L37*$I$21/100)</f>
        <v>367.3622323078817</v>
      </c>
      <c r="M48" s="436">
        <f t="shared" si="4"/>
        <v>44792.360763850433</v>
      </c>
      <c r="N48" s="436">
        <f t="shared" si="5"/>
        <v>57251.939417027403</v>
      </c>
      <c r="O48" s="436">
        <f t="shared" si="6"/>
        <v>219520.48936734398</v>
      </c>
      <c r="P48" s="436">
        <f t="shared" si="7"/>
        <v>465304.1538919874</v>
      </c>
      <c r="Q48"/>
      <c r="R48"/>
      <c r="S48"/>
    </row>
    <row r="49" spans="2:22" ht="23.1" customHeight="1">
      <c r="B49" s="474"/>
      <c r="C49" s="217" t="s">
        <v>32</v>
      </c>
      <c r="D49" s="218">
        <f t="shared" si="1"/>
        <v>58.847999999999999</v>
      </c>
      <c r="E49" s="219">
        <v>44.135999999999996</v>
      </c>
      <c r="F49" s="222">
        <v>58.847999999999999</v>
      </c>
      <c r="G49" s="219">
        <v>73.56</v>
      </c>
      <c r="I49" s="1" t="s">
        <v>224</v>
      </c>
      <c r="J49" s="435">
        <f t="shared" si="2"/>
        <v>2305.1396533319426</v>
      </c>
      <c r="K49" s="127">
        <f t="shared" si="3"/>
        <v>4010.9755072129378</v>
      </c>
      <c r="L49" s="437">
        <f>IF(J19="no",($D$81/100)*L38*$D$105,L38*$I$21/100)</f>
        <v>1705.835853880995</v>
      </c>
      <c r="M49" s="436">
        <f t="shared" si="4"/>
        <v>15230.984228263169</v>
      </c>
      <c r="N49" s="436">
        <f t="shared" si="5"/>
        <v>19467.68090423962</v>
      </c>
      <c r="O49" s="436">
        <f t="shared" si="6"/>
        <v>31577.737978467998</v>
      </c>
      <c r="P49" s="436">
        <f t="shared" si="7"/>
        <v>34274.081663597972</v>
      </c>
      <c r="Q49"/>
      <c r="R49"/>
      <c r="S49"/>
    </row>
    <row r="50" spans="2:22" ht="21" customHeight="1" thickBot="1">
      <c r="B50" s="474"/>
      <c r="C50" s="217" t="s">
        <v>33</v>
      </c>
      <c r="D50" s="218">
        <f t="shared" si="1"/>
        <v>39</v>
      </c>
      <c r="E50" s="219">
        <v>29.25</v>
      </c>
      <c r="F50" s="223">
        <v>39</v>
      </c>
      <c r="G50" s="219">
        <v>48.75</v>
      </c>
      <c r="I50" s="101" t="s">
        <v>253</v>
      </c>
      <c r="J50" s="438">
        <f t="shared" si="2"/>
        <v>114281.23553142573</v>
      </c>
      <c r="K50" s="439">
        <f t="shared" si="3"/>
        <v>137924.9569817092</v>
      </c>
      <c r="L50" s="438">
        <f>IF(Z109="no",($D$81/100)*L39*$D$105,L39*$I$21/100)</f>
        <v>135503.81587177189</v>
      </c>
      <c r="M50" s="170">
        <f>(($D$83+$D$87)/100)*M39</f>
        <v>14231480.078905515</v>
      </c>
      <c r="N50" s="170">
        <f t="shared" si="5"/>
        <v>3282738.8875137242</v>
      </c>
      <c r="O50" s="170">
        <f t="shared" si="6"/>
        <v>42999827.768285811</v>
      </c>
      <c r="P50" s="170">
        <f t="shared" si="7"/>
        <v>97803167.106483206</v>
      </c>
      <c r="Q50"/>
      <c r="R50"/>
      <c r="S50"/>
    </row>
    <row r="51" spans="2:22" ht="15" customHeight="1">
      <c r="B51" s="474"/>
      <c r="C51" s="217" t="s">
        <v>34</v>
      </c>
      <c r="D51" s="218">
        <f t="shared" si="1"/>
        <v>43.199999999999996</v>
      </c>
      <c r="E51" s="219">
        <v>32.4</v>
      </c>
      <c r="F51" s="222">
        <v>43.199999999999996</v>
      </c>
      <c r="G51" s="219">
        <v>53.999999999999993</v>
      </c>
      <c r="Q51"/>
      <c r="R51"/>
      <c r="S51"/>
    </row>
    <row r="52" spans="2:22" ht="18.95" customHeight="1">
      <c r="B52" s="474"/>
      <c r="C52" s="217" t="s">
        <v>450</v>
      </c>
      <c r="D52" s="218">
        <f t="shared" si="1"/>
        <v>48</v>
      </c>
      <c r="E52" s="219">
        <v>36</v>
      </c>
      <c r="F52" s="220">
        <v>48</v>
      </c>
      <c r="G52" s="219">
        <v>60</v>
      </c>
      <c r="Q52"/>
      <c r="R52"/>
      <c r="S52"/>
    </row>
    <row r="53" spans="2:22" ht="19.350000000000001" customHeight="1" thickBot="1">
      <c r="B53" s="474"/>
      <c r="C53" s="217" t="s">
        <v>180</v>
      </c>
      <c r="D53" s="218">
        <f t="shared" si="1"/>
        <v>121.78799999999998</v>
      </c>
      <c r="E53" s="219">
        <v>91.34099999999998</v>
      </c>
      <c r="F53" s="222">
        <v>121.78799999999998</v>
      </c>
      <c r="G53" s="219">
        <v>152.23499999999999</v>
      </c>
      <c r="J53" s="176"/>
      <c r="K53" s="176"/>
      <c r="L53" s="177"/>
      <c r="M53" s="176"/>
      <c r="N53" s="176"/>
    </row>
    <row r="54" spans="2:22" ht="23.1" customHeight="1" thickBot="1">
      <c r="B54" s="474"/>
      <c r="C54" s="217" t="s">
        <v>602</v>
      </c>
      <c r="D54" s="218">
        <f t="shared" si="1"/>
        <v>60</v>
      </c>
      <c r="E54" s="219">
        <v>45</v>
      </c>
      <c r="F54" s="222">
        <v>60</v>
      </c>
      <c r="G54" s="219">
        <v>75</v>
      </c>
      <c r="I54" s="476" t="str">
        <f>"Human Resources Tables for "&amp;I16&amp;""</f>
        <v>Human Resources Tables for BRITISH COLUMBIA</v>
      </c>
      <c r="J54" s="477"/>
      <c r="K54" s="477"/>
      <c r="L54" s="477"/>
      <c r="M54" s="477"/>
      <c r="N54" s="477"/>
      <c r="O54" s="477"/>
      <c r="P54" s="478"/>
    </row>
    <row r="55" spans="2:22" ht="16.5" thickBot="1">
      <c r="B55" s="475"/>
      <c r="C55" s="224" t="s">
        <v>230</v>
      </c>
      <c r="D55" s="218">
        <f t="shared" si="1"/>
        <v>32.963999999999999</v>
      </c>
      <c r="E55" s="219">
        <v>24.722999999999999</v>
      </c>
      <c r="F55" s="225">
        <v>32.963999999999999</v>
      </c>
      <c r="G55" s="219">
        <v>41.204999999999998</v>
      </c>
      <c r="I55" s="446"/>
      <c r="J55" s="447"/>
      <c r="K55" s="447"/>
      <c r="L55" s="447"/>
      <c r="M55" s="447"/>
      <c r="N55" s="447"/>
      <c r="O55" s="447"/>
      <c r="P55" s="447"/>
      <c r="Q55" s="443"/>
      <c r="R55" s="366"/>
      <c r="S55" s="366"/>
      <c r="T55" s="207"/>
      <c r="U55" s="207"/>
      <c r="V55" s="207"/>
    </row>
    <row r="56" spans="2:22" ht="21.95" customHeight="1" thickBot="1">
      <c r="B56" s="491" t="s">
        <v>227</v>
      </c>
      <c r="C56" s="226" t="s">
        <v>8</v>
      </c>
      <c r="D56" s="227">
        <f t="shared" si="1"/>
        <v>0.16259999999999999</v>
      </c>
      <c r="E56" s="228">
        <v>0.12195</v>
      </c>
      <c r="F56" s="229">
        <v>0.16259999999999999</v>
      </c>
      <c r="G56" s="228">
        <v>0.20324999999999999</v>
      </c>
      <c r="I56" s="534" t="s">
        <v>592</v>
      </c>
      <c r="J56" s="535"/>
      <c r="K56" s="535"/>
      <c r="L56" s="535"/>
      <c r="M56" s="535"/>
      <c r="N56" s="535"/>
      <c r="O56" s="535"/>
      <c r="P56" s="536"/>
      <c r="Q56" s="429"/>
      <c r="V56" s="207"/>
    </row>
    <row r="57" spans="2:22" ht="19.350000000000001" customHeight="1">
      <c r="B57" s="492"/>
      <c r="C57" s="230" t="s">
        <v>41</v>
      </c>
      <c r="D57" s="218">
        <f t="shared" si="1"/>
        <v>3.95</v>
      </c>
      <c r="E57" s="219">
        <v>2.9625000000000004</v>
      </c>
      <c r="F57" s="220">
        <v>3.95</v>
      </c>
      <c r="G57" s="219">
        <v>4.9375</v>
      </c>
      <c r="I57" s="207"/>
      <c r="J57" s="366"/>
      <c r="K57" s="366"/>
      <c r="L57" s="366"/>
      <c r="M57" s="366"/>
      <c r="N57" s="366"/>
      <c r="O57" s="366"/>
      <c r="P57" s="366"/>
      <c r="Q57" s="366"/>
      <c r="V57" s="207"/>
    </row>
    <row r="58" spans="2:22" ht="30.75" thickBot="1">
      <c r="B58" s="492"/>
      <c r="C58" s="230" t="s">
        <v>9</v>
      </c>
      <c r="D58" s="218">
        <f t="shared" si="1"/>
        <v>13.95</v>
      </c>
      <c r="E58" s="219">
        <v>10.462499999999999</v>
      </c>
      <c r="F58" s="220">
        <v>13.95</v>
      </c>
      <c r="G58" s="219">
        <v>17.4375</v>
      </c>
      <c r="I58" s="263" t="s">
        <v>488</v>
      </c>
      <c r="J58" s="273" t="s">
        <v>482</v>
      </c>
      <c r="K58" s="274" t="s">
        <v>483</v>
      </c>
      <c r="L58" s="274" t="s">
        <v>484</v>
      </c>
      <c r="M58" s="274" t="s">
        <v>485</v>
      </c>
      <c r="N58" s="274" t="s">
        <v>486</v>
      </c>
      <c r="O58" s="274" t="s">
        <v>487</v>
      </c>
      <c r="P58" s="444"/>
      <c r="Q58" s="255" t="s">
        <v>476</v>
      </c>
      <c r="R58" s="255" t="s">
        <v>477</v>
      </c>
      <c r="S58" s="255" t="s">
        <v>478</v>
      </c>
      <c r="T58" s="255" t="s">
        <v>479</v>
      </c>
      <c r="V58" s="425"/>
    </row>
    <row r="59" spans="2:22">
      <c r="B59" s="492"/>
      <c r="C59" s="230" t="s">
        <v>16</v>
      </c>
      <c r="D59" s="218">
        <f t="shared" si="1"/>
        <v>0.23960000000000001</v>
      </c>
      <c r="E59" s="219">
        <v>0.1797</v>
      </c>
      <c r="F59" s="220">
        <f>0.1198*2</f>
        <v>0.23960000000000001</v>
      </c>
      <c r="G59" s="219">
        <v>0.29949999999999999</v>
      </c>
      <c r="I59" s="260" t="s">
        <v>469</v>
      </c>
      <c r="J59" s="151">
        <f>J163</f>
        <v>0.78333333333333333</v>
      </c>
      <c r="K59" s="151">
        <f>J195</f>
        <v>1.7337142857142855</v>
      </c>
      <c r="L59" s="151">
        <f>J227</f>
        <v>0</v>
      </c>
      <c r="M59" s="151">
        <f>J259</f>
        <v>0</v>
      </c>
      <c r="N59" s="178">
        <f>J291</f>
        <v>7.3065140700017225E-2</v>
      </c>
      <c r="O59" s="178">
        <f>J323</f>
        <v>0.19083776685748061</v>
      </c>
      <c r="P59" s="445"/>
      <c r="Q59" s="256" t="s">
        <v>17</v>
      </c>
      <c r="R59" s="256" t="s">
        <v>14</v>
      </c>
      <c r="S59" s="256" t="s">
        <v>27</v>
      </c>
      <c r="T59" s="256" t="s">
        <v>12</v>
      </c>
      <c r="V59" s="367"/>
    </row>
    <row r="60" spans="2:22" ht="20.100000000000001" customHeight="1">
      <c r="B60" s="492"/>
      <c r="C60" s="210" t="s">
        <v>10</v>
      </c>
      <c r="D60" s="110">
        <f t="shared" si="1"/>
        <v>1.7004999999999999</v>
      </c>
      <c r="E60" s="231">
        <v>1.2753749999999999</v>
      </c>
      <c r="F60" s="232">
        <f>34.01/20</f>
        <v>1.7004999999999999</v>
      </c>
      <c r="G60" s="231">
        <v>2.1256249999999999</v>
      </c>
      <c r="I60" s="260" t="s">
        <v>470</v>
      </c>
      <c r="J60" s="151">
        <f>J164</f>
        <v>3.9166666666666665</v>
      </c>
      <c r="K60" s="151">
        <f>J196</f>
        <v>2.5528571428571429</v>
      </c>
      <c r="L60" s="151">
        <f>J228</f>
        <v>0</v>
      </c>
      <c r="M60" s="151">
        <f>J260</f>
        <v>0.95238095238095233</v>
      </c>
      <c r="N60" s="178">
        <f>J292</f>
        <v>0.23549869798493506</v>
      </c>
      <c r="O60" s="178">
        <f>J324</f>
        <v>0.19858574828148368</v>
      </c>
      <c r="P60" s="151"/>
      <c r="Q60" s="256" t="s">
        <v>13</v>
      </c>
      <c r="R60" s="256" t="s">
        <v>353</v>
      </c>
      <c r="S60" s="256" t="s">
        <v>31</v>
      </c>
      <c r="T60" s="256" t="s">
        <v>21</v>
      </c>
      <c r="V60" s="207"/>
    </row>
    <row r="61" spans="2:22" ht="31.5" thickBot="1">
      <c r="B61" s="492"/>
      <c r="C61" s="210" t="s">
        <v>228</v>
      </c>
      <c r="D61" s="404">
        <f>IF(AND(D11="ON",D12="ON"),0,IF(AND(D12="ON",D11="OFF"),0,IF(AND(D12="OFF",D11="ON"),F61*D10,F61)))</f>
        <v>3.32</v>
      </c>
      <c r="E61" s="231">
        <v>2.4899999999999998</v>
      </c>
      <c r="F61" s="232">
        <v>3.32</v>
      </c>
      <c r="G61" s="231">
        <v>4.1499999999999995</v>
      </c>
      <c r="I61" s="260" t="s">
        <v>471</v>
      </c>
      <c r="J61" s="261">
        <f>J165</f>
        <v>0</v>
      </c>
      <c r="K61" s="261">
        <f>J197</f>
        <v>0</v>
      </c>
      <c r="L61" s="261">
        <f>J229</f>
        <v>0</v>
      </c>
      <c r="M61" s="261">
        <f>J261</f>
        <v>1.7280049727033375</v>
      </c>
      <c r="N61" s="262">
        <f>J293</f>
        <v>0</v>
      </c>
      <c r="O61" s="262">
        <f>J325</f>
        <v>0</v>
      </c>
      <c r="P61" s="151"/>
      <c r="Q61" s="256" t="s">
        <v>6</v>
      </c>
      <c r="R61" s="256" t="s">
        <v>230</v>
      </c>
      <c r="S61" s="256" t="s">
        <v>32</v>
      </c>
      <c r="T61" s="256" t="s">
        <v>325</v>
      </c>
    </row>
    <row r="62" spans="2:22" ht="26.1" customHeight="1">
      <c r="B62" s="492"/>
      <c r="C62" s="210" t="s">
        <v>603</v>
      </c>
      <c r="D62" s="111">
        <f>IF(D11="OFF",F62,F62*D10)</f>
        <v>0.72</v>
      </c>
      <c r="E62" s="231">
        <v>0.54</v>
      </c>
      <c r="F62" s="232">
        <v>0.72</v>
      </c>
      <c r="G62" s="231">
        <v>0.89999999999999991</v>
      </c>
      <c r="J62" s="260"/>
      <c r="K62" s="151"/>
      <c r="L62" s="178"/>
      <c r="M62" s="178"/>
      <c r="N62" s="178"/>
      <c r="O62" s="178"/>
      <c r="Q62" s="256" t="s">
        <v>386</v>
      </c>
      <c r="R62" s="256"/>
      <c r="S62" s="256" t="s">
        <v>33</v>
      </c>
      <c r="T62" s="257"/>
    </row>
    <row r="63" spans="2:22" ht="23.1" customHeight="1" thickBot="1">
      <c r="B63" s="492"/>
      <c r="C63" s="210" t="s">
        <v>272</v>
      </c>
      <c r="D63" s="111">
        <f>IF(D11="OFF",F63,F63*D10)</f>
        <v>1.8685</v>
      </c>
      <c r="E63" s="231">
        <v>1.401375</v>
      </c>
      <c r="F63" s="232">
        <v>1.8685</v>
      </c>
      <c r="G63" s="231">
        <v>2.3356250000000003</v>
      </c>
      <c r="I63" s="263" t="s">
        <v>593</v>
      </c>
      <c r="J63" s="273" t="s">
        <v>482</v>
      </c>
      <c r="K63" s="274" t="s">
        <v>483</v>
      </c>
      <c r="L63" s="274" t="s">
        <v>484</v>
      </c>
      <c r="M63" s="274" t="s">
        <v>485</v>
      </c>
      <c r="N63" s="274" t="s">
        <v>486</v>
      </c>
      <c r="O63" s="274" t="s">
        <v>487</v>
      </c>
      <c r="Q63" s="256"/>
      <c r="R63" s="256"/>
      <c r="S63" s="256"/>
      <c r="T63" s="257"/>
    </row>
    <row r="64" spans="2:22" ht="17.100000000000001" customHeight="1">
      <c r="B64" s="492"/>
      <c r="C64" s="210" t="s">
        <v>22</v>
      </c>
      <c r="D64" s="110">
        <f t="shared" si="1"/>
        <v>7.242172727E-2</v>
      </c>
      <c r="E64" s="231">
        <v>5.4316295452499996E-2</v>
      </c>
      <c r="F64" s="232">
        <v>7.242172727E-2</v>
      </c>
      <c r="G64" s="231">
        <v>9.0527159087500003E-2</v>
      </c>
      <c r="I64" s="260" t="s">
        <v>469</v>
      </c>
      <c r="J64" s="151">
        <f>L163</f>
        <v>1.2758704761904758</v>
      </c>
      <c r="K64" s="178">
        <f>L195</f>
        <v>1.7662857142857142</v>
      </c>
      <c r="L64" s="178">
        <f>L227</f>
        <v>0</v>
      </c>
      <c r="M64" s="178">
        <f>L259</f>
        <v>0</v>
      </c>
      <c r="N64" s="178">
        <f>L291</f>
        <v>0.17961904761904762</v>
      </c>
      <c r="O64" s="178">
        <f>L323</f>
        <v>1.1426044282003713</v>
      </c>
      <c r="Q64" s="256" t="s">
        <v>40</v>
      </c>
      <c r="R64" s="256"/>
      <c r="S64" s="256" t="s">
        <v>34</v>
      </c>
      <c r="T64" s="257"/>
    </row>
    <row r="65" spans="1:48" ht="30.75">
      <c r="B65" s="492"/>
      <c r="C65" s="210" t="s">
        <v>229</v>
      </c>
      <c r="D65" s="110">
        <f t="shared" si="1"/>
        <v>42.91</v>
      </c>
      <c r="E65" s="231">
        <v>32.182499999999997</v>
      </c>
      <c r="F65" s="232">
        <v>42.91</v>
      </c>
      <c r="G65" s="231">
        <v>53.637499999999996</v>
      </c>
      <c r="I65" s="260" t="s">
        <v>470</v>
      </c>
      <c r="J65" s="151">
        <f>L164</f>
        <v>6.2069503950505691</v>
      </c>
      <c r="K65" s="178">
        <f>L196</f>
        <v>2.4671428571428571</v>
      </c>
      <c r="L65" s="178">
        <f>L228</f>
        <v>0</v>
      </c>
      <c r="M65" s="178">
        <f>L260</f>
        <v>0.95238095238095222</v>
      </c>
      <c r="N65" s="178">
        <f>L292</f>
        <v>0.2314285714285714</v>
      </c>
      <c r="O65" s="178">
        <f>L324</f>
        <v>1.909416497262201</v>
      </c>
      <c r="Q65" s="256" t="s">
        <v>323</v>
      </c>
      <c r="R65" s="256"/>
      <c r="S65" s="257"/>
      <c r="T65" s="257"/>
    </row>
    <row r="66" spans="1:48" ht="16.5" thickBot="1">
      <c r="B66" s="492"/>
      <c r="C66" s="210" t="s">
        <v>23</v>
      </c>
      <c r="D66" s="110">
        <f t="shared" si="1"/>
        <v>0.18703</v>
      </c>
      <c r="E66" s="231">
        <v>0.14027249999999999</v>
      </c>
      <c r="F66" s="232">
        <f>187.03/1000</f>
        <v>0.18703</v>
      </c>
      <c r="G66" s="231">
        <v>0.23378750000000001</v>
      </c>
      <c r="I66" s="260" t="s">
        <v>471</v>
      </c>
      <c r="J66" s="261">
        <f>L165</f>
        <v>0</v>
      </c>
      <c r="K66" s="262">
        <f>L197</f>
        <v>0</v>
      </c>
      <c r="L66" s="262">
        <f>L229</f>
        <v>0</v>
      </c>
      <c r="M66" s="262">
        <f>L261</f>
        <v>1.7420506094378434</v>
      </c>
      <c r="N66" s="262">
        <f>L293</f>
        <v>0</v>
      </c>
      <c r="O66" s="262">
        <f>L325</f>
        <v>0</v>
      </c>
      <c r="P66" s="178"/>
      <c r="Q66" s="256" t="s">
        <v>354</v>
      </c>
      <c r="R66" s="256"/>
      <c r="S66" s="257"/>
      <c r="T66" s="257"/>
    </row>
    <row r="67" spans="1:48">
      <c r="B67" s="492"/>
      <c r="C67" s="210" t="s">
        <v>24</v>
      </c>
      <c r="D67" s="110">
        <f t="shared" si="1"/>
        <v>1.274775</v>
      </c>
      <c r="E67" s="231">
        <v>0.95608124999999999</v>
      </c>
      <c r="F67" s="232">
        <f>509.91/(4*100)</f>
        <v>1.274775</v>
      </c>
      <c r="G67" s="231">
        <v>1.59346875</v>
      </c>
      <c r="J67" s="260"/>
      <c r="K67" s="151"/>
      <c r="L67" s="178"/>
      <c r="M67" s="178"/>
      <c r="N67" s="178"/>
      <c r="O67" s="178"/>
      <c r="P67" s="178"/>
      <c r="Q67" s="256"/>
      <c r="R67" s="256"/>
      <c r="S67" s="257"/>
      <c r="T67" s="257"/>
    </row>
    <row r="68" spans="1:48" ht="32.25" thickBot="1">
      <c r="B68" s="492"/>
      <c r="C68" s="214" t="s">
        <v>378</v>
      </c>
      <c r="D68" s="111">
        <v>0.84</v>
      </c>
      <c r="E68" s="233">
        <v>0.63</v>
      </c>
      <c r="F68" s="234">
        <v>0.84</v>
      </c>
      <c r="G68" s="233">
        <v>1.05</v>
      </c>
      <c r="I68" s="290" t="s">
        <v>594</v>
      </c>
      <c r="J68" s="273" t="s">
        <v>482</v>
      </c>
      <c r="K68" s="274" t="s">
        <v>483</v>
      </c>
      <c r="L68" s="274" t="s">
        <v>484</v>
      </c>
      <c r="M68" s="274" t="s">
        <v>485</v>
      </c>
      <c r="N68" s="274" t="s">
        <v>486</v>
      </c>
      <c r="O68" s="274" t="s">
        <v>487</v>
      </c>
      <c r="P68" s="178"/>
      <c r="Q68" s="256" t="s">
        <v>450</v>
      </c>
      <c r="R68" s="256"/>
      <c r="S68" s="257"/>
      <c r="T68" s="257"/>
    </row>
    <row r="69" spans="1:48">
      <c r="B69" s="492"/>
      <c r="C69" s="214" t="s">
        <v>606</v>
      </c>
      <c r="D69" s="111">
        <v>10</v>
      </c>
      <c r="E69" s="233">
        <v>7.5</v>
      </c>
      <c r="F69" s="234">
        <v>10</v>
      </c>
      <c r="G69" s="233">
        <v>12.5</v>
      </c>
      <c r="I69" s="291" t="s">
        <v>469</v>
      </c>
      <c r="J69" s="151">
        <f t="shared" ref="J69:O71" si="8">(J59*$I$24)+(J64*$I$25)</f>
        <v>0.85650701358995451</v>
      </c>
      <c r="K69" s="151">
        <f t="shared" si="8"/>
        <v>1.7385532533624137</v>
      </c>
      <c r="L69" s="151">
        <f t="shared" si="8"/>
        <v>0</v>
      </c>
      <c r="M69" s="151">
        <f t="shared" si="8"/>
        <v>0</v>
      </c>
      <c r="N69" s="151">
        <f t="shared" si="8"/>
        <v>8.8895300167296964E-2</v>
      </c>
      <c r="O69" s="151">
        <f t="shared" si="8"/>
        <v>0.33223678694359915</v>
      </c>
      <c r="P69" s="178"/>
      <c r="Q69" s="256" t="s">
        <v>480</v>
      </c>
      <c r="R69" s="256"/>
      <c r="S69" s="257"/>
      <c r="T69" s="257"/>
    </row>
    <row r="70" spans="1:48" ht="30.75">
      <c r="B70" s="492"/>
      <c r="C70" s="214" t="s">
        <v>379</v>
      </c>
      <c r="D70" s="111">
        <v>1.41</v>
      </c>
      <c r="E70" s="233">
        <v>1.0574999999999999</v>
      </c>
      <c r="F70" s="234">
        <v>1.41</v>
      </c>
      <c r="G70" s="233">
        <v>1.7625</v>
      </c>
      <c r="I70" s="291" t="s">
        <v>470</v>
      </c>
      <c r="J70" s="151">
        <f t="shared" si="8"/>
        <v>4.2569222020473028</v>
      </c>
      <c r="K70" s="151">
        <f t="shared" si="8"/>
        <v>2.5401230174673324</v>
      </c>
      <c r="L70" s="151">
        <f t="shared" si="8"/>
        <v>0</v>
      </c>
      <c r="M70" s="151">
        <f t="shared" si="8"/>
        <v>0.95238095238095233</v>
      </c>
      <c r="N70" s="151">
        <f t="shared" si="8"/>
        <v>0.23489402046252184</v>
      </c>
      <c r="O70" s="151">
        <f t="shared" si="8"/>
        <v>0.45275496986122687</v>
      </c>
      <c r="P70" s="178"/>
      <c r="Q70" s="256" t="s">
        <v>449</v>
      </c>
      <c r="R70" s="256"/>
      <c r="S70" s="257"/>
      <c r="T70" s="257"/>
    </row>
    <row r="71" spans="1:48">
      <c r="B71" s="492"/>
      <c r="C71" s="214" t="s">
        <v>395</v>
      </c>
      <c r="D71" s="111">
        <v>2.2799999999999998</v>
      </c>
      <c r="E71" s="233">
        <v>1.71</v>
      </c>
      <c r="F71" s="234">
        <v>2.2799999999999998</v>
      </c>
      <c r="G71" s="233">
        <v>2.8499999999999996</v>
      </c>
      <c r="I71" s="291" t="s">
        <v>471</v>
      </c>
      <c r="J71" s="151">
        <f t="shared" si="8"/>
        <v>0</v>
      </c>
      <c r="K71" s="151">
        <f t="shared" si="8"/>
        <v>0</v>
      </c>
      <c r="L71" s="151">
        <f t="shared" si="8"/>
        <v>0</v>
      </c>
      <c r="M71" s="151">
        <f t="shared" si="8"/>
        <v>1.7300916598625018</v>
      </c>
      <c r="N71" s="151">
        <f t="shared" si="8"/>
        <v>0</v>
      </c>
      <c r="O71" s="151">
        <f t="shared" si="8"/>
        <v>0</v>
      </c>
      <c r="P71" s="178"/>
    </row>
    <row r="72" spans="1:48">
      <c r="B72" s="492"/>
      <c r="C72" s="214" t="s">
        <v>396</v>
      </c>
      <c r="D72" s="111">
        <v>0.39</v>
      </c>
      <c r="E72" s="233">
        <v>0.29249999999999998</v>
      </c>
      <c r="F72" s="234">
        <v>0.39</v>
      </c>
      <c r="G72" s="233">
        <v>0.48750000000000004</v>
      </c>
      <c r="P72" s="178"/>
    </row>
    <row r="73" spans="1:48" ht="16.5" thickBot="1">
      <c r="B73" s="492"/>
      <c r="C73" s="214" t="s">
        <v>605</v>
      </c>
      <c r="D73" s="111">
        <v>10</v>
      </c>
      <c r="E73" s="233">
        <v>7.5</v>
      </c>
      <c r="F73" s="234">
        <v>10</v>
      </c>
      <c r="G73" s="233">
        <v>12.5</v>
      </c>
      <c r="I73" s="263" t="s">
        <v>489</v>
      </c>
      <c r="J73" s="273" t="s">
        <v>482</v>
      </c>
      <c r="K73" s="274" t="s">
        <v>483</v>
      </c>
      <c r="L73" s="274" t="s">
        <v>484</v>
      </c>
      <c r="M73" s="274" t="s">
        <v>485</v>
      </c>
      <c r="N73" s="274" t="s">
        <v>486</v>
      </c>
      <c r="O73" s="274" t="s">
        <v>487</v>
      </c>
      <c r="P73" s="178"/>
    </row>
    <row r="74" spans="1:48" ht="18" customHeight="1">
      <c r="B74" s="492"/>
      <c r="C74" s="214" t="s">
        <v>604</v>
      </c>
      <c r="D74" s="111">
        <f>F74</f>
        <v>20</v>
      </c>
      <c r="E74" s="233">
        <v>15</v>
      </c>
      <c r="F74" s="234">
        <v>20</v>
      </c>
      <c r="G74" s="233">
        <v>25</v>
      </c>
      <c r="I74" s="260" t="s">
        <v>469</v>
      </c>
      <c r="J74" s="264">
        <f>N163</f>
        <v>7.8617204464554252E-2</v>
      </c>
      <c r="K74" s="265">
        <f>N195</f>
        <v>1.4286998200514283</v>
      </c>
      <c r="L74" s="265">
        <f>N227</f>
        <v>0</v>
      </c>
      <c r="M74" s="265">
        <f>N259</f>
        <v>0</v>
      </c>
      <c r="N74" s="265">
        <f>N291</f>
        <v>5.3503368571428567E-2</v>
      </c>
      <c r="O74" s="265">
        <f>N323</f>
        <v>2.4861117818181816E-2</v>
      </c>
      <c r="P74" s="178"/>
      <c r="Q74" s="151"/>
      <c r="R74" s="151"/>
      <c r="S74" s="151"/>
      <c r="T74" s="151"/>
    </row>
    <row r="75" spans="1:48">
      <c r="B75" s="492"/>
      <c r="C75" s="210" t="s">
        <v>526</v>
      </c>
      <c r="D75" s="404">
        <f>IF(AND(D7="OFF",D9="OFF"),F75,IF(AND(D9="OFF",D7="ON"),F75-10.56,IF(AND(D9="ON",D7="OFF"),F75*D10,IF(AND(D9="ON",D7="ON"),F75*D10,F75))))</f>
        <v>12.16</v>
      </c>
      <c r="E75" s="231">
        <v>9.120000000000001</v>
      </c>
      <c r="F75" s="234">
        <v>12.16</v>
      </c>
      <c r="G75" s="231">
        <v>24.454170000000001</v>
      </c>
      <c r="I75" s="260" t="s">
        <v>470</v>
      </c>
      <c r="J75" s="266">
        <f>N164</f>
        <v>0.31671244252169711</v>
      </c>
      <c r="K75" s="178">
        <f>N196</f>
        <v>1.6668367392428667</v>
      </c>
      <c r="L75" s="178">
        <f>N228</f>
        <v>0</v>
      </c>
      <c r="M75" s="178">
        <f>N260</f>
        <v>0.95238095238095244</v>
      </c>
      <c r="N75" s="178">
        <f>N292</f>
        <v>0.23827798571428571</v>
      </c>
      <c r="O75" s="178">
        <f>N324</f>
        <v>5.2608671895038525E-2</v>
      </c>
      <c r="P75" s="178"/>
    </row>
    <row r="76" spans="1:48" ht="21.95" customHeight="1" thickBot="1">
      <c r="B76" s="492"/>
      <c r="C76" s="210" t="s">
        <v>527</v>
      </c>
      <c r="D76" s="111">
        <f>IF(D9="OFF",F76,F76*D10)</f>
        <v>0.72</v>
      </c>
      <c r="E76" s="231">
        <v>0.54</v>
      </c>
      <c r="F76" s="234">
        <v>0.72</v>
      </c>
      <c r="G76" s="231">
        <v>1.2849387000000001</v>
      </c>
      <c r="I76" s="260" t="s">
        <v>471</v>
      </c>
      <c r="J76" s="267">
        <f>N165</f>
        <v>0</v>
      </c>
      <c r="K76" s="262">
        <f>N197</f>
        <v>9.9974525500000008E-2</v>
      </c>
      <c r="L76" s="262">
        <f>N229</f>
        <v>0</v>
      </c>
      <c r="M76" s="262">
        <f>N261</f>
        <v>1.7204397720057722</v>
      </c>
      <c r="N76" s="262">
        <f>N293</f>
        <v>0</v>
      </c>
      <c r="O76" s="262">
        <f>N325</f>
        <v>0</v>
      </c>
      <c r="P76" s="178"/>
    </row>
    <row r="77" spans="1:48" s="207" customFormat="1">
      <c r="A77"/>
      <c r="B77" s="492"/>
      <c r="C77" s="95" t="s">
        <v>239</v>
      </c>
      <c r="D77" s="111">
        <f>F77</f>
        <v>100.99</v>
      </c>
      <c r="E77" s="231">
        <v>75.742499999999993</v>
      </c>
      <c r="F77" s="232">
        <v>100.99</v>
      </c>
      <c r="G77" s="231">
        <v>126.2375</v>
      </c>
      <c r="H77" s="104"/>
      <c r="I77"/>
      <c r="J77" s="260"/>
      <c r="K77" s="151"/>
      <c r="L77" s="178"/>
      <c r="M77" s="178"/>
      <c r="N77" s="178"/>
      <c r="O77" s="178"/>
      <c r="P77" s="178"/>
      <c r="Q77" s="94"/>
      <c r="R77" s="94"/>
      <c r="S77" s="94"/>
      <c r="T77"/>
    </row>
    <row r="78" spans="1:48" s="207" customFormat="1" ht="17.100000000000001" customHeight="1" thickBot="1">
      <c r="A78"/>
      <c r="B78" s="492"/>
      <c r="C78" s="95" t="s">
        <v>351</v>
      </c>
      <c r="D78" s="111">
        <v>0</v>
      </c>
      <c r="E78" s="231">
        <v>0</v>
      </c>
      <c r="F78" s="232">
        <v>0</v>
      </c>
      <c r="G78" s="231">
        <v>0</v>
      </c>
      <c r="H78" s="104"/>
      <c r="I78" s="263" t="s">
        <v>499</v>
      </c>
      <c r="J78" s="273" t="s">
        <v>482</v>
      </c>
      <c r="K78" s="274" t="s">
        <v>483</v>
      </c>
      <c r="L78" s="274" t="s">
        <v>484</v>
      </c>
      <c r="M78" s="274" t="s">
        <v>485</v>
      </c>
      <c r="N78" s="274" t="s">
        <v>486</v>
      </c>
      <c r="O78" s="274" t="s">
        <v>487</v>
      </c>
      <c r="P78" s="178"/>
      <c r="Q78" s="94"/>
      <c r="R78" s="94"/>
      <c r="S78" s="94"/>
      <c r="T78"/>
      <c r="AB78" s="411"/>
      <c r="AC78" s="412"/>
      <c r="AD78" s="412"/>
      <c r="AE78" s="412"/>
      <c r="AF78" s="412"/>
      <c r="AG78" s="412"/>
      <c r="AH78" s="412"/>
      <c r="AI78" s="469"/>
      <c r="AJ78" s="469"/>
      <c r="AK78" s="469"/>
      <c r="AL78" s="469"/>
      <c r="AM78" s="469"/>
      <c r="AN78" s="469"/>
      <c r="AO78" s="469"/>
      <c r="AP78" s="469"/>
      <c r="AQ78" s="469"/>
      <c r="AR78" s="469"/>
      <c r="AS78" s="469"/>
      <c r="AT78" s="469"/>
      <c r="AU78" s="469"/>
      <c r="AV78" s="469"/>
    </row>
    <row r="79" spans="1:48" s="207" customFormat="1" ht="21" customHeight="1" thickBot="1">
      <c r="A79"/>
      <c r="B79" s="493"/>
      <c r="C79" s="99" t="s">
        <v>352</v>
      </c>
      <c r="D79" s="361">
        <v>0</v>
      </c>
      <c r="E79" s="235">
        <v>0</v>
      </c>
      <c r="F79" s="236">
        <v>0</v>
      </c>
      <c r="G79" s="235">
        <v>0</v>
      </c>
      <c r="H79" s="104"/>
      <c r="I79" s="260" t="s">
        <v>469</v>
      </c>
      <c r="J79" s="277">
        <f>M163</f>
        <v>0.17300131061598953</v>
      </c>
      <c r="K79" s="265">
        <f>M195</f>
        <v>13.767498040876392</v>
      </c>
      <c r="L79" s="265">
        <f>M227</f>
        <v>0</v>
      </c>
      <c r="M79" s="265">
        <f>M259</f>
        <v>0</v>
      </c>
      <c r="N79" s="265">
        <f>M291</f>
        <v>5.3503368571428567E-2</v>
      </c>
      <c r="O79" s="265">
        <f>M323</f>
        <v>2.4861117818181816E-2</v>
      </c>
      <c r="P79" s="178"/>
      <c r="Q79" s="94"/>
      <c r="R79" s="94"/>
      <c r="S79" s="94"/>
      <c r="T79"/>
      <c r="U79" s="409"/>
      <c r="V79" s="288"/>
      <c r="W79" s="288"/>
      <c r="X79" s="288"/>
      <c r="Y79" s="288"/>
      <c r="Z79" s="288"/>
      <c r="AA79" s="288"/>
      <c r="AB79" s="214"/>
      <c r="AC79" s="214"/>
      <c r="AD79" s="214"/>
      <c r="AE79" s="214"/>
      <c r="AF79" s="214"/>
      <c r="AG79" s="214"/>
      <c r="AH79" s="288"/>
      <c r="AI79" s="214"/>
      <c r="AJ79" s="214"/>
      <c r="AK79" s="214"/>
      <c r="AL79" s="214"/>
      <c r="AM79" s="214"/>
      <c r="AN79" s="214"/>
      <c r="AO79" s="288"/>
      <c r="AP79" s="214"/>
      <c r="AQ79" s="214"/>
      <c r="AR79" s="214"/>
      <c r="AS79" s="214"/>
      <c r="AT79" s="214"/>
      <c r="AU79" s="214"/>
      <c r="AV79" s="288"/>
    </row>
    <row r="80" spans="1:48" s="207" customFormat="1" ht="17.100000000000001" customHeight="1">
      <c r="A80"/>
      <c r="B80" s="528" t="s">
        <v>467</v>
      </c>
      <c r="C80" s="293" t="s">
        <v>422</v>
      </c>
      <c r="D80" s="300">
        <f>IF(J19="YES",I20,I21)</f>
        <v>1907</v>
      </c>
      <c r="E80" s="173">
        <f t="shared" ref="E80:E86" si="9">F80*0.75</f>
        <v>1430.25</v>
      </c>
      <c r="F80" s="287">
        <f t="shared" ref="F80:F96" si="10">D80</f>
        <v>1907</v>
      </c>
      <c r="G80" s="173">
        <f t="shared" ref="G80:G86" si="11">F80*1.25</f>
        <v>2383.75</v>
      </c>
      <c r="H80" s="104"/>
      <c r="I80" s="260" t="s">
        <v>470</v>
      </c>
      <c r="J80" s="151">
        <f>M164</f>
        <v>0.41109654867313239</v>
      </c>
      <c r="K80" s="178">
        <f>M196</f>
        <v>13.767498040876392</v>
      </c>
      <c r="L80" s="178">
        <f>M228</f>
        <v>0</v>
      </c>
      <c r="M80" s="178">
        <f>M260</f>
        <v>0.95238095238095244</v>
      </c>
      <c r="N80" s="178">
        <f>M292</f>
        <v>0.23827798571428571</v>
      </c>
      <c r="O80" s="178">
        <f>M324</f>
        <v>5.2608671895038525E-2</v>
      </c>
      <c r="P80" s="178"/>
      <c r="Q80" s="94"/>
      <c r="R80" s="94"/>
      <c r="S80" s="94"/>
      <c r="T80"/>
      <c r="U80" s="409"/>
      <c r="V80" s="407"/>
      <c r="W80" s="408"/>
      <c r="X80" s="408"/>
      <c r="AB80" s="294"/>
      <c r="AC80" s="294"/>
      <c r="AD80" s="294"/>
      <c r="AE80" s="294"/>
      <c r="AF80" s="294"/>
      <c r="AG80" s="294"/>
      <c r="AH80" s="294"/>
      <c r="AI80" s="294"/>
      <c r="AJ80" s="294"/>
      <c r="AK80" s="294"/>
      <c r="AL80" s="294"/>
      <c r="AM80" s="294"/>
      <c r="AN80" s="294"/>
      <c r="AO80" s="294"/>
      <c r="AP80" s="294"/>
      <c r="AQ80" s="294"/>
      <c r="AR80" s="294"/>
      <c r="AS80" s="294"/>
      <c r="AT80" s="294"/>
      <c r="AU80" s="294"/>
      <c r="AV80" s="294"/>
    </row>
    <row r="81" spans="1:51" s="207" customFormat="1" ht="18" customHeight="1" thickBot="1">
      <c r="A81"/>
      <c r="B81" s="529"/>
      <c r="C81" s="293" t="s">
        <v>423</v>
      </c>
      <c r="D81" s="300">
        <f>IF(J19="YES",I22,I23)</f>
        <v>20.796728359461017</v>
      </c>
      <c r="E81" s="173">
        <f t="shared" ref="E81" si="12">F81*0.75</f>
        <v>15.597546269595764</v>
      </c>
      <c r="F81" s="287">
        <f t="shared" si="10"/>
        <v>20.796728359461017</v>
      </c>
      <c r="G81" s="173">
        <f t="shared" ref="G81" si="13">F81*1.25</f>
        <v>25.995910449326271</v>
      </c>
      <c r="H81" s="104"/>
      <c r="I81" s="260" t="s">
        <v>471</v>
      </c>
      <c r="J81" s="261">
        <f>M165</f>
        <v>0</v>
      </c>
      <c r="K81" s="262">
        <f>M197</f>
        <v>0</v>
      </c>
      <c r="L81" s="262">
        <f>M229</f>
        <v>0</v>
      </c>
      <c r="M81" s="262">
        <f>M261</f>
        <v>1.7204397720057722</v>
      </c>
      <c r="N81" s="262">
        <f>M293</f>
        <v>0</v>
      </c>
      <c r="O81" s="262">
        <f>M325</f>
        <v>0</v>
      </c>
      <c r="P81" s="178"/>
      <c r="Q81" s="94"/>
      <c r="R81" s="94"/>
      <c r="S81" s="94"/>
      <c r="T81"/>
      <c r="U81" s="409"/>
      <c r="V81" s="408"/>
      <c r="W81" s="408"/>
      <c r="X81" s="407"/>
      <c r="Z81" s="407"/>
      <c r="AB81" s="294"/>
      <c r="AC81" s="294"/>
      <c r="AD81" s="294"/>
      <c r="AE81" s="294"/>
      <c r="AF81" s="294"/>
      <c r="AG81" s="294"/>
      <c r="AH81" s="294"/>
      <c r="AI81" s="294"/>
      <c r="AJ81" s="294"/>
      <c r="AK81" s="294"/>
      <c r="AL81" s="294"/>
      <c r="AM81" s="294"/>
      <c r="AN81" s="294"/>
      <c r="AO81" s="294"/>
      <c r="AP81" s="294"/>
      <c r="AQ81" s="294"/>
      <c r="AR81" s="294"/>
      <c r="AS81" s="294"/>
      <c r="AT81" s="294"/>
      <c r="AU81" s="294"/>
      <c r="AV81" s="294"/>
    </row>
    <row r="82" spans="1:51" s="207" customFormat="1">
      <c r="A82"/>
      <c r="B82" s="529"/>
      <c r="C82" s="161" t="s">
        <v>262</v>
      </c>
      <c r="D82" s="174">
        <f>D83+D84</f>
        <v>132173</v>
      </c>
      <c r="E82" s="173">
        <f t="shared" si="9"/>
        <v>99129.75</v>
      </c>
      <c r="F82" s="287">
        <f t="shared" si="10"/>
        <v>132173</v>
      </c>
      <c r="G82" s="173">
        <f t="shared" si="11"/>
        <v>165216.25</v>
      </c>
      <c r="H82" s="104"/>
      <c r="P82" s="178"/>
      <c r="Q82" s="94"/>
      <c r="R82" s="94"/>
      <c r="S82" s="94"/>
      <c r="T82"/>
      <c r="U82" s="409"/>
      <c r="V82" s="408"/>
      <c r="W82" s="408"/>
      <c r="X82" s="408"/>
      <c r="AB82" s="294"/>
      <c r="AC82" s="294"/>
      <c r="AD82" s="294"/>
      <c r="AE82" s="294"/>
      <c r="AF82" s="294"/>
      <c r="AG82" s="294"/>
      <c r="AH82" s="294"/>
      <c r="AI82" s="294"/>
      <c r="AJ82" s="294"/>
      <c r="AK82" s="294"/>
      <c r="AL82" s="294"/>
      <c r="AM82" s="294"/>
      <c r="AN82" s="294"/>
      <c r="AO82" s="294"/>
      <c r="AP82" s="294"/>
      <c r="AQ82" s="294"/>
      <c r="AR82" s="294"/>
      <c r="AS82" s="294"/>
      <c r="AT82" s="294"/>
      <c r="AU82" s="294"/>
      <c r="AV82" s="294"/>
    </row>
    <row r="83" spans="1:51" s="207" customFormat="1" ht="16.5" thickBot="1">
      <c r="A83"/>
      <c r="B83" s="529"/>
      <c r="C83" s="161" t="s">
        <v>261</v>
      </c>
      <c r="D83" s="297">
        <f>N16</f>
        <v>45727</v>
      </c>
      <c r="E83" s="173">
        <f t="shared" si="9"/>
        <v>34295.25</v>
      </c>
      <c r="F83" s="287">
        <f t="shared" si="10"/>
        <v>45727</v>
      </c>
      <c r="G83" s="173">
        <f t="shared" si="11"/>
        <v>57158.75</v>
      </c>
      <c r="H83" s="104"/>
      <c r="I83" s="263" t="s">
        <v>490</v>
      </c>
      <c r="J83" s="273" t="s">
        <v>482</v>
      </c>
      <c r="K83" s="274" t="s">
        <v>483</v>
      </c>
      <c r="L83" s="274" t="s">
        <v>484</v>
      </c>
      <c r="M83" s="274" t="s">
        <v>485</v>
      </c>
      <c r="N83" s="274" t="s">
        <v>486</v>
      </c>
      <c r="O83" s="274" t="s">
        <v>487</v>
      </c>
      <c r="P83" s="178"/>
      <c r="U83" s="409"/>
      <c r="V83" s="408"/>
      <c r="W83" s="408"/>
      <c r="X83" s="408"/>
      <c r="AB83" s="294"/>
      <c r="AC83" s="294"/>
      <c r="AD83" s="294"/>
      <c r="AE83" s="294"/>
      <c r="AF83" s="294"/>
      <c r="AG83" s="294"/>
      <c r="AH83" s="294"/>
      <c r="AI83" s="294"/>
      <c r="AJ83" s="294"/>
      <c r="AK83" s="294"/>
      <c r="AL83" s="294"/>
      <c r="AM83" s="294"/>
      <c r="AN83" s="294"/>
      <c r="AO83" s="294"/>
      <c r="AP83" s="294"/>
      <c r="AQ83" s="294"/>
      <c r="AR83" s="294"/>
      <c r="AS83" s="294"/>
      <c r="AT83" s="294"/>
      <c r="AU83" s="294"/>
      <c r="AV83" s="294"/>
    </row>
    <row r="84" spans="1:51" s="207" customFormat="1" ht="18" customHeight="1">
      <c r="A84"/>
      <c r="B84" s="529"/>
      <c r="C84" s="161" t="s">
        <v>263</v>
      </c>
      <c r="D84" s="298">
        <f>L16</f>
        <v>86446</v>
      </c>
      <c r="E84" s="173">
        <f t="shared" si="9"/>
        <v>64834.5</v>
      </c>
      <c r="F84" s="287">
        <f t="shared" si="10"/>
        <v>86446</v>
      </c>
      <c r="G84" s="173">
        <f t="shared" si="11"/>
        <v>108057.5</v>
      </c>
      <c r="H84" s="104"/>
      <c r="I84" s="260" t="s">
        <v>469</v>
      </c>
      <c r="J84" s="264">
        <f>O163</f>
        <v>0.38994121033957924</v>
      </c>
      <c r="K84" s="265">
        <f>O195</f>
        <v>12.134975246637117</v>
      </c>
      <c r="L84" s="265">
        <f>O227</f>
        <v>0</v>
      </c>
      <c r="M84" s="265">
        <f>O259</f>
        <v>0</v>
      </c>
      <c r="N84" s="265">
        <f>O291</f>
        <v>5.0023333333333329E-2</v>
      </c>
      <c r="O84" s="265">
        <f>O323</f>
        <v>7.6860894545454552E-3</v>
      </c>
      <c r="P84" s="178"/>
      <c r="U84" s="409"/>
      <c r="V84" s="408"/>
      <c r="W84" s="408"/>
      <c r="X84" s="408"/>
      <c r="Z84" s="407"/>
      <c r="AA84" s="410"/>
      <c r="AB84" s="294"/>
      <c r="AC84" s="294"/>
      <c r="AD84" s="294"/>
      <c r="AE84" s="294"/>
      <c r="AF84" s="294"/>
      <c r="AG84" s="294"/>
      <c r="AH84" s="294"/>
      <c r="AI84" s="294"/>
      <c r="AJ84" s="294"/>
      <c r="AK84" s="294"/>
      <c r="AL84" s="294"/>
      <c r="AM84" s="294"/>
      <c r="AN84" s="294"/>
      <c r="AO84" s="294"/>
      <c r="AP84" s="294"/>
      <c r="AQ84" s="294"/>
      <c r="AR84" s="294"/>
      <c r="AS84" s="294"/>
      <c r="AT84" s="294"/>
      <c r="AU84" s="294"/>
      <c r="AV84" s="294"/>
    </row>
    <row r="85" spans="1:51" s="207" customFormat="1">
      <c r="A85"/>
      <c r="B85" s="529"/>
      <c r="C85" s="161" t="s">
        <v>249</v>
      </c>
      <c r="D85" s="297">
        <f>O16</f>
        <v>338179</v>
      </c>
      <c r="E85" s="173">
        <f t="shared" si="9"/>
        <v>253634.25</v>
      </c>
      <c r="F85" s="287">
        <f t="shared" si="10"/>
        <v>338179</v>
      </c>
      <c r="G85" s="173">
        <f t="shared" si="11"/>
        <v>422723.75</v>
      </c>
      <c r="H85" s="104"/>
      <c r="I85" s="260" t="s">
        <v>470</v>
      </c>
      <c r="J85" s="266">
        <f>O164</f>
        <v>0.62803644843481732</v>
      </c>
      <c r="K85" s="178">
        <f>O196</f>
        <v>12.134975246637117</v>
      </c>
      <c r="L85" s="178">
        <f>O228</f>
        <v>0</v>
      </c>
      <c r="M85" s="178">
        <f>O260</f>
        <v>0.95238095238095233</v>
      </c>
      <c r="N85" s="178">
        <f>O292</f>
        <v>0.2379738095238095</v>
      </c>
      <c r="O85" s="178">
        <f>O324</f>
        <v>2.1813351761357441E-2</v>
      </c>
      <c r="P85" s="178"/>
      <c r="U85" s="409"/>
      <c r="V85" s="408"/>
      <c r="W85" s="408"/>
      <c r="X85" s="408"/>
      <c r="Z85" s="408"/>
      <c r="AA85" s="410"/>
      <c r="AB85" s="294"/>
      <c r="AC85" s="294"/>
      <c r="AD85" s="294"/>
      <c r="AE85" s="294"/>
      <c r="AF85" s="294"/>
      <c r="AG85" s="294"/>
      <c r="AH85" s="294"/>
      <c r="AI85" s="294"/>
      <c r="AJ85" s="294"/>
      <c r="AK85" s="294"/>
      <c r="AL85" s="294"/>
      <c r="AM85" s="294"/>
      <c r="AN85" s="294"/>
      <c r="AO85" s="294"/>
      <c r="AP85" s="294"/>
      <c r="AQ85" s="294"/>
      <c r="AR85" s="294"/>
      <c r="AS85" s="294"/>
      <c r="AT85" s="294"/>
      <c r="AU85" s="294"/>
      <c r="AV85" s="294"/>
    </row>
    <row r="86" spans="1:51" s="207" customFormat="1" ht="16.5" thickBot="1">
      <c r="A86"/>
      <c r="B86" s="529"/>
      <c r="C86" s="161" t="s">
        <v>433</v>
      </c>
      <c r="D86" s="297">
        <f>P16</f>
        <v>719993</v>
      </c>
      <c r="E86" s="173">
        <f t="shared" si="9"/>
        <v>539994.75</v>
      </c>
      <c r="F86" s="287">
        <f t="shared" si="10"/>
        <v>719993</v>
      </c>
      <c r="G86" s="173">
        <f t="shared" si="11"/>
        <v>899991.25</v>
      </c>
      <c r="H86" s="104"/>
      <c r="I86" s="260" t="s">
        <v>471</v>
      </c>
      <c r="J86" s="267">
        <f>O165</f>
        <v>0</v>
      </c>
      <c r="K86" s="262">
        <f>O197</f>
        <v>0</v>
      </c>
      <c r="L86" s="262">
        <f>O229</f>
        <v>0</v>
      </c>
      <c r="M86" s="262">
        <f>O261</f>
        <v>1.7194635877928217</v>
      </c>
      <c r="N86" s="262">
        <f>O293</f>
        <v>0</v>
      </c>
      <c r="O86" s="262">
        <f>O325</f>
        <v>0</v>
      </c>
      <c r="P86" s="178"/>
      <c r="U86" s="409"/>
      <c r="V86" s="408"/>
      <c r="W86" s="408"/>
      <c r="X86" s="407"/>
      <c r="Z86" s="407"/>
      <c r="AA86" s="413"/>
      <c r="AB86" s="294"/>
      <c r="AC86" s="294"/>
      <c r="AD86" s="294"/>
      <c r="AE86" s="294"/>
      <c r="AF86" s="294"/>
      <c r="AG86" s="294"/>
      <c r="AH86" s="294"/>
      <c r="AI86" s="294"/>
      <c r="AJ86" s="294"/>
      <c r="AK86" s="294"/>
      <c r="AL86" s="294"/>
      <c r="AM86" s="294"/>
      <c r="AN86" s="294"/>
      <c r="AO86" s="294"/>
      <c r="AP86" s="294"/>
      <c r="AQ86" s="294"/>
      <c r="AR86" s="294"/>
      <c r="AS86" s="294"/>
      <c r="AT86" s="294"/>
      <c r="AU86" s="294"/>
      <c r="AV86" s="294"/>
    </row>
    <row r="87" spans="1:51" s="207" customFormat="1" ht="16.5" thickBot="1">
      <c r="A87"/>
      <c r="B87" s="530"/>
      <c r="C87" s="268" t="s">
        <v>264</v>
      </c>
      <c r="D87" s="299">
        <f>M16-N16</f>
        <v>67633</v>
      </c>
      <c r="E87" s="269">
        <v>411726</v>
      </c>
      <c r="F87" s="275">
        <f t="shared" si="10"/>
        <v>67633</v>
      </c>
      <c r="G87" s="269">
        <v>686210</v>
      </c>
      <c r="H87" s="104"/>
      <c r="I87" s="260"/>
      <c r="J87" s="151"/>
      <c r="K87" s="178"/>
      <c r="L87" s="178"/>
      <c r="M87" s="178"/>
      <c r="N87" s="178"/>
      <c r="O87" s="178"/>
      <c r="P87" s="178"/>
      <c r="U87" s="409"/>
      <c r="V87" s="408"/>
      <c r="W87" s="408"/>
      <c r="X87" s="408"/>
      <c r="Z87" s="408"/>
      <c r="AA87" s="410"/>
      <c r="AB87" s="294"/>
      <c r="AC87" s="294"/>
      <c r="AD87" s="294"/>
      <c r="AE87" s="294"/>
      <c r="AF87" s="294"/>
      <c r="AG87" s="294"/>
      <c r="AH87" s="294"/>
      <c r="AI87" s="294"/>
      <c r="AJ87" s="294"/>
      <c r="AK87" s="294"/>
      <c r="AL87" s="294"/>
      <c r="AM87" s="294"/>
      <c r="AN87" s="294"/>
      <c r="AO87" s="294"/>
      <c r="AP87" s="294"/>
      <c r="AQ87" s="294"/>
      <c r="AR87" s="294"/>
      <c r="AS87" s="294"/>
      <c r="AT87" s="294"/>
      <c r="AU87" s="294"/>
      <c r="AV87" s="294"/>
    </row>
    <row r="88" spans="1:51" s="207" customFormat="1" ht="16.5" thickBot="1">
      <c r="A88"/>
      <c r="B88" s="500" t="s">
        <v>438</v>
      </c>
      <c r="C88" s="161" t="s">
        <v>440</v>
      </c>
      <c r="D88" s="301">
        <f>S16</f>
        <v>87</v>
      </c>
      <c r="E88" s="283">
        <f>ROUND(F88*0.75,0)</f>
        <v>65</v>
      </c>
      <c r="F88" s="283">
        <f t="shared" si="10"/>
        <v>87</v>
      </c>
      <c r="G88" s="283">
        <f>ROUND(F88*1.25,0)</f>
        <v>109</v>
      </c>
      <c r="H88" s="104"/>
      <c r="I88" s="263" t="s">
        <v>491</v>
      </c>
      <c r="J88" s="273" t="s">
        <v>482</v>
      </c>
      <c r="K88" s="274" t="s">
        <v>483</v>
      </c>
      <c r="L88" s="274" t="s">
        <v>484</v>
      </c>
      <c r="M88" s="274" t="s">
        <v>485</v>
      </c>
      <c r="N88" s="274" t="s">
        <v>486</v>
      </c>
      <c r="O88" s="274" t="s">
        <v>487</v>
      </c>
      <c r="P88" s="178"/>
      <c r="U88" s="409"/>
      <c r="V88" s="408"/>
      <c r="W88" s="408"/>
      <c r="X88" s="408"/>
      <c r="Z88" s="408"/>
      <c r="AA88" s="410"/>
      <c r="AB88" s="294"/>
      <c r="AC88" s="294"/>
      <c r="AD88" s="294"/>
      <c r="AE88" s="294"/>
      <c r="AF88" s="294"/>
      <c r="AG88" s="294"/>
      <c r="AH88" s="294"/>
      <c r="AI88" s="294"/>
      <c r="AJ88" s="294"/>
      <c r="AK88" s="294"/>
      <c r="AL88" s="294"/>
      <c r="AM88" s="294"/>
      <c r="AN88" s="294"/>
      <c r="AO88" s="294"/>
    </row>
    <row r="89" spans="1:51" s="207" customFormat="1" ht="20.100000000000001" customHeight="1">
      <c r="A89"/>
      <c r="B89" s="501"/>
      <c r="C89" s="161" t="s">
        <v>439</v>
      </c>
      <c r="D89" s="301">
        <f>W16</f>
        <v>0</v>
      </c>
      <c r="E89" s="283">
        <f>ROUND(F89*0.75,0)</f>
        <v>0</v>
      </c>
      <c r="F89" s="283">
        <f t="shared" si="10"/>
        <v>0</v>
      </c>
      <c r="G89" s="283">
        <f>ROUND(F89*1.25,0)</f>
        <v>0</v>
      </c>
      <c r="H89" s="104"/>
      <c r="I89" s="260" t="s">
        <v>469</v>
      </c>
      <c r="J89" s="151">
        <f>P$163</f>
        <v>9.0694631753364258E-2</v>
      </c>
      <c r="K89" s="178">
        <f>P$195</f>
        <v>14.516907009611799</v>
      </c>
      <c r="L89" s="178">
        <f>P$227</f>
        <v>0</v>
      </c>
      <c r="M89" s="178">
        <f>P$259</f>
        <v>0</v>
      </c>
      <c r="N89" s="178">
        <f>P$291</f>
        <v>4.8937994285714284E-2</v>
      </c>
      <c r="O89" s="178">
        <f>P$323</f>
        <v>3.9183985454545453E-3</v>
      </c>
      <c r="P89" s="178"/>
      <c r="U89" s="306"/>
      <c r="V89" s="151"/>
      <c r="W89" s="151"/>
      <c r="X89" s="151"/>
    </row>
    <row r="90" spans="1:51">
      <c r="B90" s="501"/>
      <c r="C90" s="284" t="s">
        <v>441</v>
      </c>
      <c r="D90" s="301">
        <f>X16</f>
        <v>11</v>
      </c>
      <c r="E90" s="283">
        <f>ROUND(F90*0.75,0)</f>
        <v>8</v>
      </c>
      <c r="F90" s="285">
        <f t="shared" si="10"/>
        <v>11</v>
      </c>
      <c r="G90" s="283">
        <f>ROUND(F90*1.25,0)</f>
        <v>14</v>
      </c>
      <c r="I90" s="260" t="s">
        <v>470</v>
      </c>
      <c r="J90" s="151">
        <f>P164</f>
        <v>0.32878986981050712</v>
      </c>
      <c r="K90" s="178">
        <f>P196</f>
        <v>14.516907009611799</v>
      </c>
      <c r="L90" s="178">
        <f>P228</f>
        <v>0</v>
      </c>
      <c r="M90" s="178">
        <f>P260</f>
        <v>0.95238095238095233</v>
      </c>
      <c r="N90" s="178">
        <f>P292</f>
        <v>0.23850939999999995</v>
      </c>
      <c r="O90" s="178">
        <f>P324</f>
        <v>1.1120532270495948E-2</v>
      </c>
      <c r="P90" s="151"/>
      <c r="AB90" s="414"/>
      <c r="AC90" s="414"/>
      <c r="AD90" s="414"/>
      <c r="AE90" s="414"/>
      <c r="AF90" s="414"/>
      <c r="AG90" s="414"/>
      <c r="AH90" s="414"/>
      <c r="AI90" s="414"/>
      <c r="AJ90" s="415"/>
      <c r="AK90" s="415"/>
      <c r="AL90" s="415"/>
      <c r="AM90" s="415"/>
      <c r="AN90" s="415"/>
      <c r="AO90" s="415"/>
      <c r="AP90" s="414"/>
      <c r="AQ90" s="415"/>
      <c r="AR90" s="415"/>
      <c r="AS90" s="415"/>
      <c r="AT90" s="415"/>
      <c r="AU90" s="415"/>
      <c r="AV90" s="415"/>
      <c r="AW90" s="207"/>
      <c r="AX90" s="207"/>
      <c r="AY90" s="207"/>
    </row>
    <row r="91" spans="1:51" ht="16.5" thickBot="1">
      <c r="B91" s="501"/>
      <c r="C91" s="161" t="s">
        <v>444</v>
      </c>
      <c r="D91" s="301">
        <f>T16</f>
        <v>1612</v>
      </c>
      <c r="E91" s="283">
        <f t="shared" ref="E91:E96" si="14">ROUND(F91*0.75,0)</f>
        <v>1209</v>
      </c>
      <c r="F91" s="283">
        <f t="shared" si="10"/>
        <v>1612</v>
      </c>
      <c r="G91" s="283">
        <f t="shared" ref="G91:G96" si="15">ROUND(F91*1.25,0)</f>
        <v>2015</v>
      </c>
      <c r="I91" s="260" t="s">
        <v>471</v>
      </c>
      <c r="J91" s="261">
        <f>P165</f>
        <v>0</v>
      </c>
      <c r="K91" s="262">
        <f>P197</f>
        <v>0</v>
      </c>
      <c r="L91" s="262">
        <f>P229</f>
        <v>0</v>
      </c>
      <c r="M91" s="262">
        <f>P261</f>
        <v>1.7196427763347764</v>
      </c>
      <c r="N91" s="262">
        <f>P293</f>
        <v>0</v>
      </c>
      <c r="O91" s="262">
        <f>P325</f>
        <v>0</v>
      </c>
      <c r="P91" s="151"/>
      <c r="AB91" s="288"/>
      <c r="AC91" s="288"/>
      <c r="AD91" s="288"/>
      <c r="AE91" s="288"/>
      <c r="AF91" s="288"/>
      <c r="AG91" s="288"/>
      <c r="AH91" s="288"/>
      <c r="AI91" s="288"/>
      <c r="AJ91" s="289"/>
      <c r="AK91" s="289"/>
      <c r="AL91" s="289"/>
      <c r="AM91" s="289"/>
      <c r="AN91" s="289"/>
      <c r="AO91" s="289"/>
      <c r="AP91" s="288"/>
      <c r="AQ91" s="289"/>
      <c r="AR91" s="289"/>
      <c r="AS91" s="289"/>
      <c r="AT91" s="289"/>
      <c r="AU91" s="289"/>
      <c r="AV91" s="289"/>
      <c r="AW91" s="207"/>
      <c r="AX91" s="207"/>
      <c r="AY91" s="207"/>
    </row>
    <row r="92" spans="1:51" ht="20.100000000000001" customHeight="1" thickBot="1">
      <c r="B92" s="501"/>
      <c r="C92" s="161" t="s">
        <v>442</v>
      </c>
      <c r="D92" s="301">
        <f>Y16</f>
        <v>450.55153626529062</v>
      </c>
      <c r="E92" s="283">
        <f t="shared" si="14"/>
        <v>338</v>
      </c>
      <c r="F92" s="286">
        <f t="shared" si="10"/>
        <v>450.55153626529062</v>
      </c>
      <c r="G92" s="283">
        <f t="shared" si="15"/>
        <v>563</v>
      </c>
      <c r="I92" s="260"/>
      <c r="J92" s="151"/>
      <c r="K92" s="178"/>
      <c r="L92" s="178"/>
      <c r="M92" s="178"/>
      <c r="N92" s="178"/>
      <c r="O92" s="178"/>
      <c r="P92" s="151"/>
      <c r="AB92" s="409"/>
      <c r="AC92" s="416"/>
      <c r="AD92" s="416"/>
      <c r="AE92" s="416"/>
      <c r="AF92" s="416"/>
      <c r="AG92" s="416"/>
      <c r="AH92" s="416"/>
      <c r="AI92" s="409"/>
      <c r="AJ92" s="416"/>
      <c r="AK92" s="416"/>
      <c r="AL92" s="416"/>
      <c r="AM92" s="416"/>
      <c r="AN92" s="416"/>
      <c r="AO92" s="416"/>
      <c r="AP92" s="409"/>
      <c r="AQ92" s="416"/>
      <c r="AR92" s="416"/>
      <c r="AS92" s="416"/>
      <c r="AT92" s="416"/>
      <c r="AU92" s="416"/>
      <c r="AV92" s="416"/>
      <c r="AW92" s="207"/>
      <c r="AX92" s="207"/>
      <c r="AY92" s="207"/>
    </row>
    <row r="93" spans="1:51" ht="63.75" thickBot="1">
      <c r="B93" s="501"/>
      <c r="C93" s="161" t="s">
        <v>445</v>
      </c>
      <c r="D93" s="301">
        <f>V16</f>
        <v>1942</v>
      </c>
      <c r="E93" s="283">
        <f t="shared" si="14"/>
        <v>1457</v>
      </c>
      <c r="F93" s="283">
        <f t="shared" si="10"/>
        <v>1942</v>
      </c>
      <c r="G93" s="283">
        <f t="shared" si="15"/>
        <v>2428</v>
      </c>
      <c r="I93" s="315" t="s">
        <v>503</v>
      </c>
      <c r="J93" s="448" t="s">
        <v>595</v>
      </c>
      <c r="K93" s="433" t="s">
        <v>217</v>
      </c>
      <c r="L93" s="433" t="s">
        <v>591</v>
      </c>
      <c r="M93" s="449" t="s">
        <v>282</v>
      </c>
      <c r="N93" s="449" t="s">
        <v>265</v>
      </c>
      <c r="O93" s="449" t="s">
        <v>219</v>
      </c>
      <c r="P93" s="450" t="s">
        <v>596</v>
      </c>
      <c r="AB93" s="409"/>
      <c r="AC93" s="417"/>
      <c r="AD93" s="417"/>
      <c r="AE93" s="417"/>
      <c r="AF93" s="417"/>
      <c r="AG93" s="417"/>
      <c r="AH93" s="417"/>
      <c r="AI93" s="409"/>
      <c r="AJ93" s="417"/>
      <c r="AK93" s="417"/>
      <c r="AL93" s="417"/>
      <c r="AM93" s="417"/>
      <c r="AN93" s="417"/>
      <c r="AO93" s="417"/>
      <c r="AP93" s="409"/>
      <c r="AQ93" s="417"/>
      <c r="AR93" s="417"/>
      <c r="AS93" s="417"/>
      <c r="AT93" s="417"/>
      <c r="AU93" s="417"/>
      <c r="AV93" s="417"/>
      <c r="AW93" s="207"/>
      <c r="AX93" s="207"/>
      <c r="AY93" s="207"/>
    </row>
    <row r="94" spans="1:51">
      <c r="B94" s="501"/>
      <c r="C94" s="161" t="s">
        <v>443</v>
      </c>
      <c r="D94" s="301">
        <f>U16</f>
        <v>15080</v>
      </c>
      <c r="E94" s="283">
        <f t="shared" si="14"/>
        <v>11310</v>
      </c>
      <c r="F94" s="283">
        <f t="shared" si="10"/>
        <v>15080</v>
      </c>
      <c r="G94" s="283">
        <f t="shared" si="15"/>
        <v>18850</v>
      </c>
      <c r="I94" s="316" t="s">
        <v>469</v>
      </c>
      <c r="J94" s="307" t="s">
        <v>500</v>
      </c>
      <c r="K94" s="310">
        <f>(J105)/(J105+J107+J109+J111+J114+J115+J116+J117+J121+J122)</f>
        <v>0.66364861763089733</v>
      </c>
      <c r="L94" s="310">
        <f>(K105)/(K105+K107+K109+K111+K114+K115+K116+K117+K121+K122)</f>
        <v>0.59408174522184465</v>
      </c>
      <c r="M94" s="310">
        <f>(M105)/(M105+M107+M109+M111+M114+M115+M116+M117+M121+M122)</f>
        <v>0.99315302764644886</v>
      </c>
      <c r="N94" s="310">
        <f>(N105)/(N105+N107+N109+N111+N114+N115+N116+N117+N121+N122)</f>
        <v>0.96909508155560897</v>
      </c>
      <c r="O94" s="310">
        <f>(O105)/(O105+O107+O109+O111+O114+O115+O116+O117+O121+O122)</f>
        <v>0.98440057770930023</v>
      </c>
      <c r="P94" s="317">
        <f>(P105)/(P105+P107+P109+P111+P114+P115+P116+P117+P121+P122)</f>
        <v>0.99686123623731249</v>
      </c>
      <c r="AB94" s="409"/>
      <c r="AC94" s="417"/>
      <c r="AD94" s="417"/>
      <c r="AE94" s="417"/>
      <c r="AF94" s="417"/>
      <c r="AG94" s="417"/>
      <c r="AH94" s="417"/>
      <c r="AI94" s="409"/>
      <c r="AJ94" s="417"/>
      <c r="AK94" s="417"/>
      <c r="AL94" s="417"/>
      <c r="AM94" s="417"/>
      <c r="AN94" s="417"/>
      <c r="AO94" s="417"/>
      <c r="AP94" s="409"/>
      <c r="AQ94" s="417"/>
      <c r="AR94" s="417"/>
      <c r="AS94" s="417"/>
      <c r="AT94" s="417"/>
      <c r="AU94" s="417"/>
      <c r="AV94" s="417"/>
      <c r="AW94" s="207"/>
      <c r="AX94" s="207"/>
      <c r="AY94" s="207"/>
    </row>
    <row r="95" spans="1:51" ht="18.95" customHeight="1">
      <c r="B95" s="501"/>
      <c r="C95" s="161" t="s">
        <v>481</v>
      </c>
      <c r="D95" s="301">
        <f>Z16</f>
        <v>13446</v>
      </c>
      <c r="E95" s="283">
        <f t="shared" si="14"/>
        <v>10085</v>
      </c>
      <c r="F95" s="286">
        <f t="shared" si="10"/>
        <v>13446</v>
      </c>
      <c r="G95" s="283">
        <f t="shared" si="15"/>
        <v>16808</v>
      </c>
      <c r="I95" s="316"/>
      <c r="J95" s="307" t="s">
        <v>504</v>
      </c>
      <c r="K95" s="310">
        <f>(J109)/(J105+J107+J109+J111+J114+J115+J116+J117+J121+J122)</f>
        <v>0.1833905332442535</v>
      </c>
      <c r="L95" s="310">
        <f>(K109)/(K105+K107+K109+K111+K114+K115+K116+K117+K121+K122)</f>
        <v>0.1427505758954884</v>
      </c>
      <c r="M95" s="310">
        <f>(M109)/(M105+M107+M109+M111+M114+M115+M116+M117+M121+M122)</f>
        <v>0</v>
      </c>
      <c r="N95" s="310">
        <f>(N109)/(N105+N107+N109+N111+N114+N115+N116+N117+N121+N122)</f>
        <v>6.7474394614651162E-5</v>
      </c>
      <c r="O95" s="310">
        <f>(O109)/(O105+O107+O109+O111+O114+O115+O116+O117+O121+O122)</f>
        <v>0</v>
      </c>
      <c r="P95" s="317">
        <f>(P109)/(P105+P107+P109+P111+P114+P115+P116+P117+P121+P122)</f>
        <v>0</v>
      </c>
      <c r="AB95" s="409"/>
      <c r="AC95" s="417"/>
      <c r="AD95" s="417"/>
      <c r="AE95" s="417"/>
      <c r="AF95" s="417"/>
      <c r="AG95" s="417"/>
      <c r="AH95" s="417"/>
      <c r="AI95" s="409"/>
      <c r="AJ95" s="417"/>
      <c r="AK95" s="417"/>
      <c r="AL95" s="417"/>
      <c r="AM95" s="417"/>
      <c r="AN95" s="417"/>
      <c r="AO95" s="417"/>
      <c r="AP95" s="409"/>
      <c r="AQ95" s="417"/>
      <c r="AR95" s="417"/>
      <c r="AS95" s="417"/>
      <c r="AT95" s="417"/>
      <c r="AU95" s="417"/>
      <c r="AV95" s="417"/>
      <c r="AW95" s="207"/>
      <c r="AX95" s="207"/>
      <c r="AY95" s="207"/>
    </row>
    <row r="96" spans="1:51" ht="16.5" thickBot="1">
      <c r="B96" s="502"/>
      <c r="C96" s="161" t="s">
        <v>437</v>
      </c>
      <c r="D96" s="302">
        <f>R16</f>
        <v>86</v>
      </c>
      <c r="E96" s="276">
        <f t="shared" si="14"/>
        <v>65</v>
      </c>
      <c r="F96" s="276">
        <f t="shared" si="10"/>
        <v>86</v>
      </c>
      <c r="G96" s="276">
        <f t="shared" si="15"/>
        <v>108</v>
      </c>
      <c r="I96" s="318"/>
      <c r="J96" s="322" t="s">
        <v>501</v>
      </c>
      <c r="K96" s="312">
        <f>(J122)/(J105+J107+J109+J111+J114+J115+J116+J117+J121+J122)</f>
        <v>2.8006565455633869E-3</v>
      </c>
      <c r="L96" s="312">
        <f>(K122)/(K105+K107+K109+K111+K114+K115+K116+K117+K121+K122)</f>
        <v>2.2115028128625334E-2</v>
      </c>
      <c r="M96" s="312">
        <f>(M122)/(M105+M107+M109+M111+M114+M115+M116+M117+M121+M122)</f>
        <v>6.2830822784898386E-3</v>
      </c>
      <c r="N96" s="312">
        <f>(N122)/(N105+N107+N109+N111+N114+N115+N116+N117+N121+N122)</f>
        <v>2.5786781007043742E-2</v>
      </c>
      <c r="O96" s="312">
        <f>(O122)/(O105+O107+O109+O111+O114+O115+O116+O117+O121+O122)</f>
        <v>1.5547323091888873E-2</v>
      </c>
      <c r="P96" s="319">
        <f>(P122)/(P105+P107+P109+P111+P114+P115+P116+P117+P121+P122)</f>
        <v>3.1159677987450825E-3</v>
      </c>
      <c r="AB96" s="409"/>
      <c r="AC96" s="417"/>
      <c r="AD96" s="417"/>
      <c r="AE96" s="417"/>
      <c r="AF96" s="417"/>
      <c r="AG96" s="417"/>
      <c r="AH96" s="417"/>
      <c r="AI96" s="409"/>
      <c r="AJ96" s="417"/>
      <c r="AK96" s="417"/>
      <c r="AL96" s="417"/>
      <c r="AM96" s="417"/>
      <c r="AN96" s="417"/>
      <c r="AO96" s="417"/>
      <c r="AP96" s="409"/>
      <c r="AQ96" s="417"/>
      <c r="AR96" s="417"/>
      <c r="AS96" s="417"/>
      <c r="AT96" s="417"/>
      <c r="AU96" s="417"/>
      <c r="AV96" s="417"/>
      <c r="AW96" s="207"/>
      <c r="AX96" s="207"/>
      <c r="AY96" s="207"/>
    </row>
    <row r="97" spans="2:51" ht="21.95" customHeight="1">
      <c r="B97" s="531" t="s">
        <v>425</v>
      </c>
      <c r="C97" s="179" t="s">
        <v>232</v>
      </c>
      <c r="D97" s="304">
        <f>IF($D$21="OFF",F97,F97*$D$22)</f>
        <v>1.0905468463272689E-2</v>
      </c>
      <c r="E97" s="173">
        <f>F97*0.75</f>
        <v>8.1791013474545177E-3</v>
      </c>
      <c r="F97" s="183">
        <f>IF(J19="yes",AD16,AE16)</f>
        <v>1.0905468463272689E-2</v>
      </c>
      <c r="G97" s="173">
        <f t="shared" ref="G97:G138" si="16">F97*1.25</f>
        <v>1.363183557909086E-2</v>
      </c>
      <c r="I97" s="323"/>
      <c r="J97" s="324" t="s">
        <v>505</v>
      </c>
      <c r="K97" s="325">
        <f t="shared" ref="K97:P97" si="17">1-SUM(K94:K96)</f>
        <v>0.15016019257928581</v>
      </c>
      <c r="L97" s="325">
        <f t="shared" si="17"/>
        <v>0.24105265075404159</v>
      </c>
      <c r="M97" s="325">
        <f t="shared" si="17"/>
        <v>5.6389007506130184E-4</v>
      </c>
      <c r="N97" s="325">
        <f t="shared" si="17"/>
        <v>5.050663042732606E-3</v>
      </c>
      <c r="O97" s="325">
        <f t="shared" si="17"/>
        <v>5.2099198810884317E-5</v>
      </c>
      <c r="P97" s="326">
        <f t="shared" si="17"/>
        <v>2.2795963942390252E-5</v>
      </c>
      <c r="AB97" s="409"/>
      <c r="AC97" s="417"/>
      <c r="AD97" s="417"/>
      <c r="AE97" s="417"/>
      <c r="AF97" s="417"/>
      <c r="AG97" s="417"/>
      <c r="AH97" s="417"/>
      <c r="AI97" s="409"/>
      <c r="AJ97" s="417"/>
      <c r="AK97" s="417"/>
      <c r="AL97" s="417"/>
      <c r="AM97" s="417"/>
      <c r="AN97" s="417"/>
      <c r="AO97" s="417"/>
      <c r="AP97" s="409"/>
      <c r="AQ97" s="417"/>
      <c r="AR97" s="417"/>
      <c r="AS97" s="417"/>
      <c r="AT97" s="417"/>
      <c r="AU97" s="417"/>
      <c r="AV97" s="417"/>
      <c r="AW97" s="207"/>
      <c r="AX97" s="207"/>
      <c r="AY97" s="207"/>
    </row>
    <row r="98" spans="2:51" ht="20.100000000000001" customHeight="1" thickBot="1">
      <c r="B98" s="532"/>
      <c r="C98" s="237" t="s">
        <v>421</v>
      </c>
      <c r="D98" s="304">
        <f>IF($D$21="OFF",F98,F98*$D$22)</f>
        <v>1.0905468463272689E-2</v>
      </c>
      <c r="E98" s="173">
        <f>F98*0.75</f>
        <v>8.1791013474545177E-3</v>
      </c>
      <c r="F98" s="183">
        <f>IF(J19="yes",AD16,AE16)</f>
        <v>1.0905468463272689E-2</v>
      </c>
      <c r="G98" s="173">
        <f t="shared" si="16"/>
        <v>1.363183557909086E-2</v>
      </c>
      <c r="I98" s="320" t="s">
        <v>470</v>
      </c>
      <c r="J98" s="308" t="s">
        <v>502</v>
      </c>
      <c r="K98" s="311">
        <f>J104/(J104+J123+J124)</f>
        <v>0.9970258853921149</v>
      </c>
      <c r="L98" s="311">
        <f>K104/(K104+K123+K124)</f>
        <v>0.97584299827766485</v>
      </c>
      <c r="M98" s="311">
        <f>M104/(M104+M123+M124)</f>
        <v>0.99969245695629194</v>
      </c>
      <c r="N98" s="311">
        <f>N104/(N104+N123+N124)</f>
        <v>0.99853016556359431</v>
      </c>
      <c r="O98" s="311">
        <f>O104/(O104+O123+O124)</f>
        <v>0.99985928176257033</v>
      </c>
      <c r="P98" s="321">
        <f>P104/(P104+P123+P124)</f>
        <v>0.99993752619525833</v>
      </c>
      <c r="AB98" s="409"/>
      <c r="AC98" s="417"/>
      <c r="AD98" s="417"/>
      <c r="AE98" s="417"/>
      <c r="AF98" s="417"/>
      <c r="AG98" s="417"/>
      <c r="AH98" s="417"/>
      <c r="AI98" s="409"/>
      <c r="AJ98" s="417"/>
      <c r="AK98" s="417"/>
      <c r="AL98" s="417"/>
      <c r="AM98" s="417"/>
      <c r="AN98" s="417"/>
      <c r="AO98" s="417"/>
      <c r="AP98" s="409"/>
      <c r="AQ98" s="417"/>
      <c r="AR98" s="417"/>
      <c r="AS98" s="417"/>
      <c r="AT98" s="417"/>
      <c r="AU98" s="417"/>
      <c r="AV98" s="417"/>
      <c r="AW98" s="207"/>
      <c r="AX98" s="207"/>
      <c r="AY98" s="207"/>
    </row>
    <row r="99" spans="2:51">
      <c r="B99" s="532"/>
      <c r="C99" s="125" t="s">
        <v>233</v>
      </c>
      <c r="D99" s="303">
        <v>2.8000000000000001E-2</v>
      </c>
      <c r="E99" s="173">
        <f t="shared" ref="E99:E138" si="18">F99*0.75</f>
        <v>2.1000000000000001E-2</v>
      </c>
      <c r="F99" s="183">
        <v>2.8000000000000001E-2</v>
      </c>
      <c r="G99" s="173">
        <f t="shared" si="16"/>
        <v>3.5000000000000003E-2</v>
      </c>
      <c r="P99" s="151"/>
      <c r="Q99" s="366"/>
      <c r="R99" s="366"/>
      <c r="S99" s="366"/>
      <c r="AB99" s="409"/>
      <c r="AC99" s="417"/>
      <c r="AD99" s="417"/>
      <c r="AE99" s="417"/>
      <c r="AF99" s="417"/>
      <c r="AG99" s="417"/>
      <c r="AH99" s="417"/>
      <c r="AI99" s="409"/>
      <c r="AJ99" s="417"/>
      <c r="AK99" s="417"/>
      <c r="AL99" s="417"/>
      <c r="AM99" s="417"/>
      <c r="AN99" s="417"/>
      <c r="AO99" s="417"/>
      <c r="AP99" s="409"/>
      <c r="AQ99" s="417"/>
      <c r="AR99" s="417"/>
      <c r="AS99" s="417"/>
      <c r="AT99" s="417"/>
      <c r="AU99" s="417"/>
      <c r="AV99" s="417"/>
      <c r="AW99" s="207"/>
      <c r="AX99" s="207"/>
      <c r="AY99" s="207"/>
    </row>
    <row r="100" spans="2:51" ht="16.5" thickBot="1">
      <c r="B100" s="532"/>
      <c r="C100" s="237" t="s">
        <v>424</v>
      </c>
      <c r="D100" s="303">
        <v>2.8000000000000001E-2</v>
      </c>
      <c r="E100" s="173">
        <f>F100*0.75</f>
        <v>2.1000000000000001E-2</v>
      </c>
      <c r="F100" s="183">
        <v>2.8000000000000001E-2</v>
      </c>
      <c r="G100" s="173">
        <f>F100*1.25</f>
        <v>3.5000000000000003E-2</v>
      </c>
      <c r="I100" s="130"/>
      <c r="J100" s="151"/>
      <c r="K100" s="151"/>
      <c r="L100" s="151"/>
      <c r="M100" s="151"/>
      <c r="N100" s="151"/>
      <c r="O100" s="151"/>
      <c r="P100" s="151"/>
      <c r="Q100" s="151"/>
      <c r="R100" s="151"/>
      <c r="S100" s="151"/>
      <c r="T100" s="151"/>
      <c r="Z100" s="292"/>
      <c r="AB100" s="419"/>
      <c r="AC100" s="420"/>
      <c r="AD100" s="420"/>
      <c r="AE100" s="420"/>
      <c r="AF100" s="420"/>
      <c r="AG100" s="420"/>
      <c r="AH100" s="420"/>
      <c r="AI100" s="419"/>
      <c r="AJ100" s="420"/>
      <c r="AK100" s="420"/>
      <c r="AL100" s="420"/>
      <c r="AM100" s="420"/>
      <c r="AN100" s="420"/>
      <c r="AO100" s="420"/>
      <c r="AP100" s="419"/>
      <c r="AQ100" s="420"/>
      <c r="AR100" s="420"/>
      <c r="AS100" s="420"/>
      <c r="AT100" s="420"/>
      <c r="AU100" s="420"/>
      <c r="AV100" s="420"/>
      <c r="AW100" s="207"/>
      <c r="AX100" s="207"/>
      <c r="AY100" s="207"/>
    </row>
    <row r="101" spans="2:51" ht="20.100000000000001" customHeight="1" thickBot="1">
      <c r="B101" s="532"/>
      <c r="C101" s="125" t="s">
        <v>234</v>
      </c>
      <c r="D101" s="304">
        <f>IF($D$21="OFF",F101,F101*$D$22)</f>
        <v>1.23E-3</v>
      </c>
      <c r="E101" s="173">
        <f t="shared" si="18"/>
        <v>9.2249999999999993E-4</v>
      </c>
      <c r="F101" s="183">
        <f>AF16</f>
        <v>1.23E-3</v>
      </c>
      <c r="G101" s="173">
        <f t="shared" si="16"/>
        <v>1.5375E-3</v>
      </c>
      <c r="I101" s="537" t="s">
        <v>597</v>
      </c>
      <c r="J101" s="538"/>
      <c r="K101" s="538"/>
      <c r="L101" s="538"/>
      <c r="M101" s="538"/>
      <c r="N101" s="538"/>
      <c r="O101" s="538"/>
      <c r="P101" s="539"/>
      <c r="Q101" s="462"/>
      <c r="R101" s="462"/>
      <c r="S101" s="462"/>
      <c r="T101" s="207"/>
      <c r="U101" s="207"/>
      <c r="V101" s="207"/>
      <c r="W101" s="207"/>
      <c r="X101" s="207"/>
      <c r="Y101" s="207"/>
      <c r="Z101" s="207"/>
      <c r="AA101" s="207"/>
      <c r="AB101" s="207"/>
      <c r="AC101" s="207"/>
      <c r="AD101" s="207"/>
      <c r="AE101" s="207"/>
      <c r="AF101" s="207"/>
      <c r="AG101" s="207"/>
      <c r="AH101" s="207"/>
      <c r="AI101" s="207"/>
      <c r="AJ101" s="207"/>
      <c r="AK101" s="207"/>
      <c r="AL101" s="207"/>
      <c r="AM101" s="207"/>
      <c r="AN101" s="207"/>
      <c r="AO101" s="207"/>
      <c r="AP101" s="207"/>
      <c r="AQ101" s="207"/>
      <c r="AR101" s="207"/>
      <c r="AS101" s="207"/>
      <c r="AT101" s="207"/>
      <c r="AU101" s="207"/>
      <c r="AV101" s="207"/>
      <c r="AW101" s="207"/>
      <c r="AX101" s="207"/>
    </row>
    <row r="102" spans="2:51" ht="18" customHeight="1" thickBot="1">
      <c r="B102" s="532"/>
      <c r="C102" s="125" t="s">
        <v>493</v>
      </c>
      <c r="D102" s="304">
        <f>IF($D$21="OFF",F102,F102*$D$22)</f>
        <v>5.1000000000000004E-4</v>
      </c>
      <c r="E102" s="173">
        <f t="shared" si="18"/>
        <v>3.8250000000000003E-4</v>
      </c>
      <c r="F102" s="183">
        <f>AG16</f>
        <v>5.1000000000000004E-4</v>
      </c>
      <c r="G102" s="173">
        <f t="shared" si="16"/>
        <v>6.3750000000000005E-4</v>
      </c>
      <c r="I102" s="130"/>
      <c r="J102" s="151"/>
      <c r="K102" s="151"/>
      <c r="L102" s="151"/>
      <c r="M102" s="151"/>
      <c r="N102" s="151"/>
      <c r="O102" s="151"/>
      <c r="P102" s="151"/>
      <c r="Q102" s="151"/>
      <c r="R102" s="151"/>
      <c r="S102" s="151"/>
      <c r="T102" s="424"/>
      <c r="U102" s="425"/>
      <c r="V102" s="425"/>
      <c r="W102" s="425"/>
      <c r="X102" s="425"/>
      <c r="Y102" s="425"/>
      <c r="Z102" s="425"/>
      <c r="AA102" s="207"/>
      <c r="AB102" s="207"/>
      <c r="AC102" s="421"/>
      <c r="AD102" s="207"/>
      <c r="AE102" s="207"/>
      <c r="AF102" s="207"/>
      <c r="AG102" s="207"/>
      <c r="AH102" s="207"/>
      <c r="AI102" s="207"/>
      <c r="AJ102" s="207"/>
      <c r="AK102" s="207"/>
      <c r="AL102" s="207"/>
      <c r="AM102" s="207"/>
      <c r="AN102" s="207"/>
      <c r="AO102" s="207"/>
      <c r="AP102" s="207"/>
      <c r="AQ102" s="207"/>
      <c r="AR102" s="207"/>
      <c r="AS102" s="207"/>
      <c r="AT102" s="207"/>
      <c r="AU102" s="207"/>
      <c r="AV102" s="207"/>
      <c r="AW102" s="207"/>
      <c r="AX102" s="207"/>
    </row>
    <row r="103" spans="2:51" ht="63.75" thickBot="1">
      <c r="B103" s="532"/>
      <c r="C103" s="125" t="s">
        <v>498</v>
      </c>
      <c r="D103" s="304">
        <f>IF($D$21="OFF",F103,F103*$D$22)</f>
        <v>2.5999999999999998E-4</v>
      </c>
      <c r="E103" s="173">
        <f t="shared" si="18"/>
        <v>1.9499999999999997E-4</v>
      </c>
      <c r="F103" s="183">
        <f>AH16</f>
        <v>2.5999999999999998E-4</v>
      </c>
      <c r="G103" s="173">
        <f t="shared" si="16"/>
        <v>3.2499999999999999E-4</v>
      </c>
      <c r="I103" s="100" t="s">
        <v>448</v>
      </c>
      <c r="J103" s="433" t="s">
        <v>217</v>
      </c>
      <c r="K103" s="433" t="s">
        <v>591</v>
      </c>
      <c r="L103" s="433" t="s">
        <v>218</v>
      </c>
      <c r="M103" s="449" t="s">
        <v>282</v>
      </c>
      <c r="N103" s="449" t="s">
        <v>265</v>
      </c>
      <c r="O103" s="449" t="s">
        <v>219</v>
      </c>
      <c r="P103" s="449" t="s">
        <v>596</v>
      </c>
      <c r="Q103" s="207"/>
      <c r="R103" s="422"/>
      <c r="S103" s="422"/>
      <c r="T103" s="423"/>
      <c r="U103" s="423"/>
      <c r="V103" s="423"/>
      <c r="W103" s="423"/>
      <c r="X103" s="207"/>
      <c r="Y103" s="207"/>
      <c r="Z103" s="207"/>
      <c r="AA103" s="207"/>
      <c r="AB103" s="207"/>
      <c r="AC103" s="207"/>
      <c r="AD103" s="207"/>
      <c r="AE103" s="207"/>
      <c r="AF103" s="207"/>
      <c r="AG103" s="207"/>
      <c r="AH103" s="207"/>
      <c r="AI103" s="207"/>
      <c r="AJ103" s="207"/>
      <c r="AK103" s="207"/>
      <c r="AL103" s="207"/>
      <c r="AM103" s="207"/>
      <c r="AN103" s="207"/>
      <c r="AO103" s="207"/>
      <c r="AP103" s="207"/>
      <c r="AQ103" s="207"/>
      <c r="AR103" s="207"/>
      <c r="AS103" s="207"/>
      <c r="AT103" s="207"/>
      <c r="AU103" s="207"/>
    </row>
    <row r="104" spans="2:51">
      <c r="B104" s="532"/>
      <c r="C104" s="125" t="s">
        <v>235</v>
      </c>
      <c r="D104" s="172">
        <v>5</v>
      </c>
      <c r="E104" s="173">
        <f t="shared" si="18"/>
        <v>3.75</v>
      </c>
      <c r="F104" s="183">
        <v>5</v>
      </c>
      <c r="G104" s="173">
        <f t="shared" si="16"/>
        <v>6.25</v>
      </c>
      <c r="I104" s="217" t="s">
        <v>14</v>
      </c>
      <c r="J104" s="246">
        <f>SUMPRODUCT(--('Current Strategy'!$G$12:$G$300=I104),'Current Strategy'!$K$12:$K$300)/8</f>
        <v>7.832624595907772</v>
      </c>
      <c r="K104" s="246">
        <f t="shared" ref="K104:K124" si="19">J104+L104</f>
        <v>19.149268184652364</v>
      </c>
      <c r="L104" s="246">
        <f>SUMPRODUCT(--('Expanded Contact Investigaton'!$G$13:$G$283=I104),'Expanded Contact Investigaton'!$K$13:$K$283)/8</f>
        <v>11.31664358874459</v>
      </c>
      <c r="M104" s="246">
        <f>SUMPRODUCT(--('Testing CHW LTCF Employees+Res'!$G$17:$G$351=I104),'Testing CHW LTCF Employees+Res'!$K$17:$K$351)/8</f>
        <v>15.417119313099308</v>
      </c>
      <c r="N104" s="246">
        <f>SUMPRODUCT(--('Testing Hospital Employees'!$G$17:$G$339=I104),'Testing Hospital Employees'!$K$17:$K$339)/8</f>
        <v>3.222073905314347</v>
      </c>
      <c r="O104" s="246">
        <f>SUMPRODUCT(--('Testing Essential Workers'!$G$17:$G$360=I104),'Testing Essential Workers'!$K$17:$K$360)/8</f>
        <v>13.973213246067607</v>
      </c>
      <c r="P104" s="253">
        <f>SUMPRODUCT(--('Testing Schoolchildren &amp; Staff'!$G$17:$G$360=I104),'Testing Schoolchildren &amp; Staff'!$K$17:$K$360)/8</f>
        <v>16.046705202712346</v>
      </c>
      <c r="Q104" s="207"/>
      <c r="R104" s="423"/>
      <c r="S104" s="423"/>
      <c r="T104" s="422"/>
      <c r="U104" s="422"/>
      <c r="V104" s="422"/>
      <c r="W104" s="422"/>
      <c r="X104" s="207"/>
      <c r="Y104" s="207"/>
      <c r="Z104" s="207"/>
      <c r="AA104" s="207"/>
      <c r="AB104" s="207"/>
      <c r="AC104" s="207"/>
      <c r="AD104" s="207"/>
      <c r="AE104" s="207"/>
      <c r="AF104" s="207"/>
      <c r="AG104" s="207"/>
      <c r="AH104" s="207"/>
      <c r="AI104" s="207"/>
      <c r="AJ104" s="207"/>
      <c r="AK104" s="207"/>
      <c r="AL104" s="207"/>
      <c r="AM104" s="207"/>
      <c r="AN104" s="207"/>
      <c r="AO104" s="207"/>
      <c r="AP104" s="207"/>
      <c r="AQ104" s="207"/>
      <c r="AR104" s="207"/>
      <c r="AS104" s="207"/>
      <c r="AT104" s="207"/>
      <c r="AU104" s="207"/>
    </row>
    <row r="105" spans="2:51" ht="17.100000000000001" customHeight="1">
      <c r="B105" s="532"/>
      <c r="C105" s="125" t="s">
        <v>236</v>
      </c>
      <c r="D105" s="172">
        <f>D108+D109</f>
        <v>16</v>
      </c>
      <c r="E105" s="173">
        <f>E108+E109</f>
        <v>5</v>
      </c>
      <c r="F105" s="183">
        <v>16</v>
      </c>
      <c r="G105" s="173">
        <f>G108+G109</f>
        <v>23</v>
      </c>
      <c r="I105" s="217" t="s">
        <v>17</v>
      </c>
      <c r="J105" s="246">
        <f>SUMPRODUCT(--('Current Strategy'!$G$12:$G$300=I105),'Current Strategy'!$K$12:$K$300)/8</f>
        <v>1.845573972681402</v>
      </c>
      <c r="K105" s="246">
        <f t="shared" si="19"/>
        <v>4.2449102311848037</v>
      </c>
      <c r="L105" s="246">
        <f>SUMPRODUCT(--('Expanded Contact Investigaton'!$G$13:$G$283=I105),'Expanded Contact Investigaton'!$K$13:$K$283)/8</f>
        <v>2.3993362585034017</v>
      </c>
      <c r="M105" s="246">
        <f>SUMPRODUCT(--('Testing CHW LTCF Employees+Res'!$G$17:$G$351=I105),'Testing CHW LTCF Employees+Res'!$K$17:$K$351)/8</f>
        <v>13.922877064755816</v>
      </c>
      <c r="N105" s="246">
        <f>SUMPRODUCT(--('Testing Hospital Employees'!$G$17:$G$339=I105),'Testing Hospital Employees'!$K$17:$K$339)/8</f>
        <v>1.5366761531322768</v>
      </c>
      <c r="O105" s="246">
        <f>SUMPRODUCT(--('Testing Essential Workers'!$G$17:$G$360=I105),'Testing Essential Workers'!$K$17:$K$360)/8</f>
        <v>12.38634418514024</v>
      </c>
      <c r="P105" s="246">
        <f>SUMPRODUCT(--('Testing Schoolchildren &amp; Staff'!$G$17:$G$360=I105),'Testing Schoolchildren &amp; Staff'!$K$17:$K$360)/8</f>
        <v>14.614442319774195</v>
      </c>
      <c r="Q105" s="207"/>
      <c r="R105" s="367"/>
      <c r="S105" s="367"/>
      <c r="T105" s="367"/>
      <c r="U105" s="367"/>
      <c r="V105" s="367"/>
      <c r="W105" s="367"/>
      <c r="X105" s="207"/>
      <c r="Y105" s="207"/>
      <c r="Z105" s="362"/>
      <c r="AA105" s="207"/>
      <c r="AB105" s="207"/>
      <c r="AC105" s="207"/>
      <c r="AD105" s="207"/>
      <c r="AE105" s="207"/>
      <c r="AF105" s="207"/>
      <c r="AG105" s="207"/>
      <c r="AH105" s="207"/>
      <c r="AI105" s="207"/>
      <c r="AJ105" s="207"/>
      <c r="AK105" s="207"/>
      <c r="AL105" s="207"/>
      <c r="AM105" s="207"/>
      <c r="AN105" s="207"/>
      <c r="AO105" s="207"/>
      <c r="AP105" s="207"/>
      <c r="AQ105" s="207"/>
      <c r="AR105" s="207"/>
      <c r="AS105" s="207"/>
      <c r="AT105" s="207"/>
      <c r="AU105" s="207"/>
    </row>
    <row r="106" spans="2:51">
      <c r="B106" s="532"/>
      <c r="C106" s="125" t="s">
        <v>237</v>
      </c>
      <c r="D106" s="172">
        <f>F106</f>
        <v>14</v>
      </c>
      <c r="E106" s="173">
        <v>4</v>
      </c>
      <c r="F106" s="183">
        <v>14</v>
      </c>
      <c r="G106" s="173">
        <v>20</v>
      </c>
      <c r="I106" s="217" t="s">
        <v>12</v>
      </c>
      <c r="J106" s="246">
        <f>SUMPRODUCT(--('Current Strategy'!$G$12:$G$300=I106),'Current Strategy'!$K$12:$K$300)/8</f>
        <v>1.0228571428571429</v>
      </c>
      <c r="K106" s="246">
        <f t="shared" si="19"/>
        <v>2.0457142857142858</v>
      </c>
      <c r="L106" s="246">
        <f>SUMPRODUCT(--('Expanded Contact Investigaton'!$G$13:$G$283=I106),'Expanded Contact Investigaton'!$K$13:$K$283)/8</f>
        <v>1.0228571428571429</v>
      </c>
      <c r="M106" s="246">
        <f>SUMPRODUCT(--('Testing CHW LTCF Employees+Res'!$G$17:$G$351=I106),'Testing CHW LTCF Employees+Res'!$K$17:$K$351)/8</f>
        <v>0</v>
      </c>
      <c r="N106" s="246">
        <f>SUMPRODUCT(--('Testing Hospital Employees'!$G$17:$G$339=I106),'Testing Hospital Employees'!$K$17:$K$339)/8</f>
        <v>3.1733948571428653E-4</v>
      </c>
      <c r="O106" s="246">
        <f>SUMPRODUCT(--('Testing Essential Workers'!$G$17:$G$360=I106),'Testing Essential Workers'!$K$17:$K$360)/8</f>
        <v>0</v>
      </c>
      <c r="P106" s="246">
        <f>SUMPRODUCT(--('Testing Schoolchildren &amp; Staff'!$G$17:$G$360=I106),'Testing Schoolchildren &amp; Staff'!$K$17:$K$360)/8</f>
        <v>0</v>
      </c>
      <c r="Q106" s="364"/>
      <c r="R106" s="364"/>
      <c r="S106" s="364"/>
      <c r="T106" s="151"/>
      <c r="U106" s="365"/>
      <c r="V106" s="365"/>
      <c r="W106" s="365"/>
      <c r="X106" s="207"/>
      <c r="Y106" s="207"/>
      <c r="Z106" s="418"/>
      <c r="AA106" s="207"/>
      <c r="AB106" s="207"/>
      <c r="AC106" s="207"/>
      <c r="AD106" s="207"/>
      <c r="AE106" s="207"/>
      <c r="AF106" s="207"/>
      <c r="AG106" s="207"/>
      <c r="AH106" s="207"/>
      <c r="AI106" s="207"/>
      <c r="AJ106" s="207"/>
      <c r="AK106" s="207"/>
      <c r="AL106" s="207"/>
      <c r="AM106" s="207"/>
      <c r="AN106" s="207"/>
      <c r="AO106" s="207"/>
      <c r="AP106" s="207"/>
      <c r="AQ106" s="207"/>
      <c r="AR106" s="207"/>
      <c r="AS106" s="207"/>
      <c r="AT106" s="207"/>
      <c r="AU106" s="207"/>
    </row>
    <row r="107" spans="2:51">
      <c r="B107" s="532"/>
      <c r="C107" s="125" t="s">
        <v>238</v>
      </c>
      <c r="D107" s="172">
        <f>F107</f>
        <v>2</v>
      </c>
      <c r="E107" s="173">
        <v>1</v>
      </c>
      <c r="F107" s="183">
        <v>2</v>
      </c>
      <c r="G107" s="173">
        <v>3</v>
      </c>
      <c r="I107" s="217" t="s">
        <v>13</v>
      </c>
      <c r="J107" s="246">
        <f>SUMPRODUCT(--('Current Strategy'!$G$12:$G$300=I107),'Current Strategy'!$K$12:$K$300)/8</f>
        <v>3.085714285714285E-2</v>
      </c>
      <c r="K107" s="246">
        <f t="shared" si="19"/>
        <v>6.1714285714285701E-2</v>
      </c>
      <c r="L107" s="246">
        <f>SUMPRODUCT(--('Expanded Contact Investigaton'!$G$13:$G$283=I107),'Expanded Contact Investigaton'!$K$13:$K$283)/8</f>
        <v>3.085714285714285E-2</v>
      </c>
      <c r="M107" s="246">
        <f>SUMPRODUCT(--('Testing CHW LTCF Employees+Res'!$G$17:$G$351=I107),'Testing CHW LTCF Employees+Res'!$K$17:$K$351)/8</f>
        <v>0</v>
      </c>
      <c r="N107" s="246">
        <f>SUMPRODUCT(--('Testing Hospital Employees'!$G$17:$G$339=I107),'Testing Hospital Employees'!$K$17:$K$339)/8</f>
        <v>1.5721405714285753E-5</v>
      </c>
      <c r="O107" s="246">
        <f>SUMPRODUCT(--('Testing Essential Workers'!$G$17:$G$360=I107),'Testing Essential Workers'!$K$17:$K$360)/8</f>
        <v>0</v>
      </c>
      <c r="P107" s="246">
        <f>SUMPRODUCT(--('Testing Schoolchildren &amp; Staff'!$G$17:$G$360=I107),'Testing Schoolchildren &amp; Staff'!$K$17:$K$360)/8</f>
        <v>0</v>
      </c>
      <c r="Q107" s="201"/>
      <c r="R107" s="201"/>
      <c r="T107" s="151"/>
    </row>
    <row r="108" spans="2:51">
      <c r="B108" s="532"/>
      <c r="C108" s="125" t="s">
        <v>540</v>
      </c>
      <c r="D108" s="172">
        <f>F108</f>
        <v>14</v>
      </c>
      <c r="E108" s="173">
        <v>4</v>
      </c>
      <c r="F108" s="183">
        <v>14</v>
      </c>
      <c r="G108" s="173">
        <v>20</v>
      </c>
      <c r="I108" s="217" t="s">
        <v>27</v>
      </c>
      <c r="J108" s="246">
        <f>SUMPRODUCT(--('Current Strategy'!$G$12:$G$300=I108),'Current Strategy'!$K$12:$K$300)/8</f>
        <v>1.5022171785882545</v>
      </c>
      <c r="K108" s="246">
        <f t="shared" si="19"/>
        <v>3.0166447368456</v>
      </c>
      <c r="L108" s="246">
        <f>SUMPRODUCT(--('Expanded Contact Investigaton'!$G$13:$G$283=I108),'Expanded Contact Investigaton'!$K$13:$K$283)/8</f>
        <v>1.5144275582573454</v>
      </c>
      <c r="M108" s="246">
        <f>SUMPRODUCT(--('Testing CHW LTCF Employees+Res'!$G$17:$G$351=I108),'Testing CHW LTCF Employees+Res'!$K$17:$K$351)/8</f>
        <v>1.4956404761904762</v>
      </c>
      <c r="N108" s="246">
        <f>SUMPRODUCT(--('Testing Hospital Employees'!$G$17:$G$339=I108),'Testing Hospital Employees'!$K$17:$K$339)/8</f>
        <v>1.5956150016904762</v>
      </c>
      <c r="O108" s="246">
        <f>SUMPRODUCT(--('Testing Essential Workers'!$G$17:$G$360=I108),'Testing Essential Workers'!$K$17:$K$360)/8</f>
        <v>1.4947918439716312</v>
      </c>
      <c r="P108" s="246">
        <f>SUMPRODUCT(--('Testing Schoolchildren &amp; Staff'!$G$17:$G$360=I108),'Testing Schoolchildren &amp; Staff'!$K$17:$K$360)/8</f>
        <v>1.494947619047619</v>
      </c>
      <c r="Q108"/>
      <c r="R108"/>
      <c r="S108"/>
      <c r="Y108" s="292"/>
    </row>
    <row r="109" spans="2:51" ht="20.100000000000001" customHeight="1" thickBot="1">
      <c r="B109" s="533"/>
      <c r="C109" s="184" t="s">
        <v>541</v>
      </c>
      <c r="D109" s="172">
        <f>F109</f>
        <v>2</v>
      </c>
      <c r="E109" s="163">
        <v>1</v>
      </c>
      <c r="F109" s="185">
        <v>2</v>
      </c>
      <c r="G109" s="163">
        <v>3</v>
      </c>
      <c r="I109" s="217" t="s">
        <v>6</v>
      </c>
      <c r="J109" s="246">
        <f>SUMPRODUCT(--('Current Strategy'!$G$12:$G$300=I109),'Current Strategy'!$K$12:$K$300)/8</f>
        <v>0.51</v>
      </c>
      <c r="K109" s="246">
        <f t="shared" si="19"/>
        <v>1.02</v>
      </c>
      <c r="L109" s="246">
        <f>SUMPRODUCT(--('Expanded Contact Investigaton'!$G$13:$G$283=I109),'Expanded Contact Investigaton'!$K$13:$K$283)/8</f>
        <v>0.51</v>
      </c>
      <c r="M109" s="246">
        <f>SUMPRODUCT(--('Testing CHW LTCF Employees+Res'!$G$17:$G$351=I109),'Testing CHW LTCF Employees+Res'!$K$17:$K$351)/8</f>
        <v>0</v>
      </c>
      <c r="N109" s="246">
        <f>SUMPRODUCT(--('Testing Hospital Employees'!$G$17:$G$339=I109),'Testing Hospital Employees'!$K$17:$K$339)/8</f>
        <v>1.0699290000000026E-4</v>
      </c>
      <c r="O109" s="246">
        <f>SUMPRODUCT(--('Testing Essential Workers'!$G$17:$G$360=I109),'Testing Essential Workers'!$K$17:$K$360)/8</f>
        <v>0</v>
      </c>
      <c r="P109" s="246">
        <f>SUMPRODUCT(--('Testing Schoolchildren &amp; Staff'!$G$17:$G$360=I109),'Testing Schoolchildren &amp; Staff'!$K$17:$K$360)/8</f>
        <v>0</v>
      </c>
      <c r="Q109"/>
      <c r="R109"/>
      <c r="S109"/>
      <c r="Y109" s="309"/>
      <c r="Z109" s="296"/>
    </row>
    <row r="110" spans="2:51">
      <c r="B110" s="494" t="s">
        <v>426</v>
      </c>
      <c r="C110" s="179" t="s">
        <v>370</v>
      </c>
      <c r="D110" s="186">
        <f>IF(D15="OFF", F110, 1)</f>
        <v>0</v>
      </c>
      <c r="E110" s="181">
        <f t="shared" ref="E110:E119" si="20">F110*0.75</f>
        <v>0</v>
      </c>
      <c r="F110" s="182">
        <v>0</v>
      </c>
      <c r="G110" s="181">
        <f t="shared" ref="G110:G119" si="21">F110*1.25</f>
        <v>0</v>
      </c>
      <c r="I110" s="217" t="s">
        <v>21</v>
      </c>
      <c r="J110" s="246">
        <f>SUMPRODUCT(--('Current Strategy'!$G$12:$G$300=I110),'Current Strategy'!$K$12:$K$300)/8</f>
        <v>0.7945663844982146</v>
      </c>
      <c r="K110" s="246">
        <f t="shared" si="19"/>
        <v>0.99659813052996071</v>
      </c>
      <c r="L110" s="246">
        <f>SUMPRODUCT(--('Expanded Contact Investigaton'!$G$13:$G$283=I110),'Expanded Contact Investigaton'!$K$13:$K$283)/8</f>
        <v>0.20203174603174606</v>
      </c>
      <c r="M110" s="246">
        <f>SUMPRODUCT(--('Testing CHW LTCF Employees+Res'!$G$17:$G$351=I110),'Testing CHW LTCF Employees+Res'!$K$17:$K$351)/8</f>
        <v>9.2698864178846457E-2</v>
      </c>
      <c r="N110" s="246">
        <f>SUMPRODUCT(--('Testing Hospital Employees'!$G$17:$G$339=I110),'Testing Hospital Employees'!$K$17:$K$339)/8</f>
        <v>1.2353951859700547E-2</v>
      </c>
      <c r="O110" s="246">
        <f>SUMPRODUCT(--('Testing Essential Workers'!$G$17:$G$360=I110),'Testing Essential Workers'!$K$17:$K$360)/8</f>
        <v>3.1101213224635993</v>
      </c>
      <c r="P110" s="246">
        <f>SUMPRODUCT(--('Testing Schoolchildren &amp; Staff'!$G$17:$G$360=I110),'Testing Schoolchildren &amp; Staff'!$K$17:$K$360)/8</f>
        <v>0.34564064308599518</v>
      </c>
      <c r="Q110"/>
      <c r="R110"/>
      <c r="S110"/>
      <c r="Y110" s="309"/>
    </row>
    <row r="111" spans="2:51">
      <c r="B111" s="495"/>
      <c r="C111" s="125" t="s">
        <v>371</v>
      </c>
      <c r="D111" s="187">
        <f>IF(D16="OFF",F111,1)</f>
        <v>0</v>
      </c>
      <c r="E111" s="173">
        <f t="shared" si="20"/>
        <v>0</v>
      </c>
      <c r="F111" s="183">
        <v>0</v>
      </c>
      <c r="G111" s="173">
        <f t="shared" si="21"/>
        <v>0</v>
      </c>
      <c r="I111" s="221" t="s">
        <v>386</v>
      </c>
      <c r="J111" s="246">
        <f>SUMPRODUCT(--('Current Strategy'!$G$12:$G$300=I111),'Current Strategy'!$K$12:$K$300)/8</f>
        <v>0</v>
      </c>
      <c r="K111" s="246">
        <f t="shared" si="19"/>
        <v>0</v>
      </c>
      <c r="L111" s="246">
        <f>SUMPRODUCT(--('Expanded Contact Investigaton'!$G$13:$G$283=I111),'Expanded Contact Investigaton'!$K$13:$K$283)/8</f>
        <v>0</v>
      </c>
      <c r="M111" s="246">
        <f>SUMPRODUCT(--('Testing CHW LTCF Employees+Res'!$G$17:$G$351=I111),'Testing CHW LTCF Employees+Res'!$K$17:$K$351)/8</f>
        <v>0</v>
      </c>
      <c r="N111" s="246">
        <f>SUMPRODUCT(--('Testing Hospital Employees'!$G$17:$G$339=I111),'Testing Hospital Employees'!$K$17:$K$339)/8</f>
        <v>0</v>
      </c>
      <c r="O111" s="246">
        <f>SUMPRODUCT(--('Testing Essential Workers'!$G$17:$G$360=I111),'Testing Essential Workers'!$K$17:$K$360)/8</f>
        <v>0</v>
      </c>
      <c r="P111" s="246">
        <f>SUMPRODUCT(--('Testing Schoolchildren &amp; Staff'!$G$17:$G$360=I111),'Testing Schoolchildren &amp; Staff'!$K$17:$K$360)/8</f>
        <v>0</v>
      </c>
      <c r="Q111"/>
      <c r="R111"/>
      <c r="S111"/>
      <c r="Y111" s="313"/>
    </row>
    <row r="112" spans="2:51" ht="18" customHeight="1">
      <c r="B112" s="495"/>
      <c r="C112" s="125" t="s">
        <v>372</v>
      </c>
      <c r="D112" s="187">
        <f>IF(D17="OFF",F112,1)</f>
        <v>0</v>
      </c>
      <c r="E112" s="173">
        <f t="shared" si="20"/>
        <v>0</v>
      </c>
      <c r="F112" s="183">
        <v>0</v>
      </c>
      <c r="G112" s="173">
        <f t="shared" si="21"/>
        <v>0</v>
      </c>
      <c r="I112" s="217" t="s">
        <v>325</v>
      </c>
      <c r="J112" s="246">
        <f>SUMPRODUCT(--('Current Strategy'!$G$12:$G$300=I112),'Current Strategy'!$K$12:$K$300)/8</f>
        <v>1.4085714285714286</v>
      </c>
      <c r="K112" s="246">
        <f t="shared" si="19"/>
        <v>2.2171428571428571</v>
      </c>
      <c r="L112" s="246">
        <f>SUMPRODUCT(--('Expanded Contact Investigaton'!$G$13:$G$283=I112),'Expanded Contact Investigaton'!$K$13:$K$283)/8</f>
        <v>0.80857142857142861</v>
      </c>
      <c r="M112" s="246">
        <f>SUMPRODUCT(--('Testing CHW LTCF Employees+Res'!$G$17:$G$351=I112),'Testing CHW LTCF Employees+Res'!$K$17:$K$351)/8</f>
        <v>0</v>
      </c>
      <c r="N112" s="246">
        <f>SUMPRODUCT(--('Testing Hospital Employees'!$G$17:$G$339=I112),'Testing Hospital Employees'!$K$17:$K$339)/8</f>
        <v>1.4265720000000037E-4</v>
      </c>
      <c r="O112" s="246">
        <f>SUMPRODUCT(--('Testing Essential Workers'!$G$17:$G$360=I112),'Testing Essential Workers'!$K$17:$K$360)/8</f>
        <v>0</v>
      </c>
      <c r="P112" s="246">
        <f>SUMPRODUCT(--('Testing Schoolchildren &amp; Staff'!$G$17:$G$360=I112),'Testing Schoolchildren &amp; Staff'!$K$17:$K$360)/8</f>
        <v>0</v>
      </c>
      <c r="Q112"/>
      <c r="R112"/>
      <c r="S112"/>
      <c r="Y112" s="314"/>
    </row>
    <row r="113" spans="2:27">
      <c r="B113" s="495"/>
      <c r="C113" s="125" t="s">
        <v>531</v>
      </c>
      <c r="D113" s="187">
        <v>5</v>
      </c>
      <c r="E113" s="173">
        <v>8</v>
      </c>
      <c r="F113" s="183">
        <v>5</v>
      </c>
      <c r="G113" s="173">
        <v>10</v>
      </c>
      <c r="I113" s="217" t="s">
        <v>31</v>
      </c>
      <c r="J113" s="246">
        <f>SUMPRODUCT(--('Current Strategy'!$G$12:$G$300=I113),'Current Strategy'!$K$12:$K$300)/8</f>
        <v>1.5022171785882544E-2</v>
      </c>
      <c r="K113" s="246">
        <f t="shared" si="19"/>
        <v>3.0166447368455994E-2</v>
      </c>
      <c r="L113" s="246">
        <f>SUMPRODUCT(--('Expanded Contact Investigaton'!$G$13:$G$283=I113),'Expanded Contact Investigaton'!$K$13:$K$283)/8</f>
        <v>1.5144275582573452E-2</v>
      </c>
      <c r="M113" s="246">
        <f>SUMPRODUCT(--('Testing CHW LTCF Employees+Res'!$G$17:$G$351=I113),'Testing CHW LTCF Employees+Res'!$K$17:$K$351)/8</f>
        <v>1.4956404761904759E-2</v>
      </c>
      <c r="N113" s="246">
        <f>SUMPRODUCT(--('Testing Hospital Employees'!$G$17:$G$339=I113),'Testing Hospital Employees'!$K$17:$K$339)/8</f>
        <v>1.4956404761904759E-2</v>
      </c>
      <c r="O113" s="246">
        <f>SUMPRODUCT(--('Testing Essential Workers'!$G$17:$G$360=I113),'Testing Essential Workers'!$K$17:$K$360)/8</f>
        <v>1.494791843971631E-2</v>
      </c>
      <c r="P113" s="246">
        <f>SUMPRODUCT(--('Testing Schoolchildren &amp; Staff'!$G$17:$G$360=I113),'Testing Schoolchildren &amp; Staff'!$K$17:$K$360)/8</f>
        <v>1.4949476190476187E-2</v>
      </c>
      <c r="Q113"/>
      <c r="R113"/>
      <c r="S113"/>
      <c r="Y113" s="309"/>
    </row>
    <row r="114" spans="2:27">
      <c r="B114" s="495"/>
      <c r="C114" s="125" t="s">
        <v>408</v>
      </c>
      <c r="D114" s="187">
        <v>2</v>
      </c>
      <c r="E114" s="173">
        <f t="shared" si="20"/>
        <v>1.5</v>
      </c>
      <c r="F114" s="183">
        <v>2</v>
      </c>
      <c r="G114" s="173">
        <f t="shared" si="21"/>
        <v>2.5</v>
      </c>
      <c r="I114" s="217" t="s">
        <v>40</v>
      </c>
      <c r="J114" s="246">
        <f>SUMPRODUCT(--('Current Strategy'!$G$12:$G$300=I114),'Current Strategy'!$K$12:$K$300)/8</f>
        <v>7.7884872952245689E-3</v>
      </c>
      <c r="K114" s="246">
        <f t="shared" si="19"/>
        <v>0.15801917820431546</v>
      </c>
      <c r="L114" s="246">
        <f>SUMPRODUCT(--('Expanded Contact Investigaton'!$G$13:$G$283=I114),'Expanded Contact Investigaton'!$K$13:$K$283)/8</f>
        <v>0.15023069090909089</v>
      </c>
      <c r="M114" s="246">
        <f>SUMPRODUCT(--('Testing CHW LTCF Employees+Res'!$G$17:$G$351=I114),'Testing CHW LTCF Employees+Res'!$K$17:$K$351)/8</f>
        <v>0</v>
      </c>
      <c r="N114" s="246">
        <f>SUMPRODUCT(--('Testing Hospital Employees'!$G$17:$G$339=I114),'Testing Hospital Employees'!$K$17:$K$339)/8</f>
        <v>0</v>
      </c>
      <c r="O114" s="246">
        <f>SUMPRODUCT(--('Testing Essential Workers'!$G$17:$G$360=I114),'Testing Essential Workers'!$K$17:$K$360)/8</f>
        <v>6.5554472727272727E-4</v>
      </c>
      <c r="P114" s="246">
        <f>SUMPRODUCT(--('Testing Schoolchildren &amp; Staff'!$G$17:$G$360=I114),'Testing Schoolchildren &amp; Staff'!$K$17:$K$360)/8</f>
        <v>3.3419927272727271E-4</v>
      </c>
      <c r="Q114" s="309"/>
      <c r="R114" s="309"/>
      <c r="S114" s="309"/>
      <c r="T114" s="309"/>
    </row>
    <row r="115" spans="2:27">
      <c r="B115" s="495"/>
      <c r="C115" s="125" t="s">
        <v>409</v>
      </c>
      <c r="D115" s="187">
        <v>0</v>
      </c>
      <c r="E115" s="173">
        <f t="shared" si="20"/>
        <v>0</v>
      </c>
      <c r="F115" s="183">
        <v>0</v>
      </c>
      <c r="G115" s="173">
        <f t="shared" si="21"/>
        <v>0</v>
      </c>
      <c r="I115" s="217" t="s">
        <v>449</v>
      </c>
      <c r="J115" s="246">
        <f>SUMPRODUCT(--('Current Strategy'!$G$12:$G$300=I115),'Current Strategy'!$K$12:$K$300)/8</f>
        <v>0.17</v>
      </c>
      <c r="K115" s="246">
        <f t="shared" si="19"/>
        <v>0.37257142857142855</v>
      </c>
      <c r="L115" s="246">
        <f>SUMPRODUCT(--('Expanded Contact Investigaton'!$G$13:$G$283=I115),'Expanded Contact Investigaton'!$K$13:$K$283)/8</f>
        <v>0.20257142857142857</v>
      </c>
      <c r="M115" s="246">
        <f>SUMPRODUCT(--('Testing CHW LTCF Employees+Res'!$G$17:$G$351=I115),'Testing CHW LTCF Employees+Res'!$K$17:$K$351)/8</f>
        <v>0</v>
      </c>
      <c r="N115" s="246">
        <f>SUMPRODUCT(--('Testing Hospital Employees'!$G$17:$G$339=I115),'Testing Hospital Employees'!$K$17:$K$339)/8</f>
        <v>5.2259117142857279E-5</v>
      </c>
      <c r="O115" s="246">
        <f>SUMPRODUCT(--('Testing Essential Workers'!$G$17:$G$360=I115),'Testing Essential Workers'!$K$17:$K$360)/8</f>
        <v>0</v>
      </c>
      <c r="P115" s="246">
        <f>SUMPRODUCT(--('Testing Schoolchildren &amp; Staff'!$G$17:$G$360=I115),'Testing Schoolchildren &amp; Staff'!$K$17:$K$360)/8</f>
        <v>0</v>
      </c>
      <c r="Q115" s="151"/>
      <c r="R115" s="151"/>
      <c r="S115"/>
    </row>
    <row r="116" spans="2:27">
      <c r="B116" s="495"/>
      <c r="C116" s="125" t="s">
        <v>410</v>
      </c>
      <c r="D116" s="187">
        <v>2</v>
      </c>
      <c r="E116" s="173">
        <f t="shared" si="20"/>
        <v>1.5</v>
      </c>
      <c r="F116" s="183">
        <v>2</v>
      </c>
      <c r="G116" s="173">
        <f t="shared" si="21"/>
        <v>2.5</v>
      </c>
      <c r="I116" s="217" t="s">
        <v>323</v>
      </c>
      <c r="J116" s="246">
        <f>SUMPRODUCT(--('Current Strategy'!$G$12:$G$300=I116),'Current Strategy'!$K$12:$K$300)/8</f>
        <v>0.17</v>
      </c>
      <c r="K116" s="246">
        <f t="shared" si="19"/>
        <v>0.34</v>
      </c>
      <c r="L116" s="246">
        <f>SUMPRODUCT(--('Expanded Contact Investigaton'!$G$13:$G$283=I116),'Expanded Contact Investigaton'!$K$13:$K$283)/8</f>
        <v>0.17</v>
      </c>
      <c r="M116" s="246">
        <f>SUMPRODUCT(--('Testing CHW LTCF Employees+Res'!$G$17:$G$351=I116),'Testing CHW LTCF Employees+Res'!$K$17:$K$351)/8</f>
        <v>0</v>
      </c>
      <c r="N116" s="246">
        <f>SUMPRODUCT(--('Testing Hospital Employees'!$G$17:$G$339=I116),'Testing Hospital Employees'!$K$17:$K$339)/8</f>
        <v>3.5664300000000092E-5</v>
      </c>
      <c r="O116" s="246">
        <f>SUMPRODUCT(--('Testing Essential Workers'!$G$17:$G$360=I116),'Testing Essential Workers'!$K$17:$K$360)/8</f>
        <v>0</v>
      </c>
      <c r="P116" s="246">
        <f>SUMPRODUCT(--('Testing Schoolchildren &amp; Staff'!$G$17:$G$360=I116),'Testing Schoolchildren &amp; Staff'!$K$17:$K$360)/8</f>
        <v>0</v>
      </c>
      <c r="Q116" s="151"/>
      <c r="R116" s="151"/>
      <c r="S116"/>
      <c r="X116" s="330"/>
      <c r="Y116" s="330"/>
      <c r="Z116" s="330"/>
      <c r="AA116" s="330"/>
    </row>
    <row r="117" spans="2:27" ht="20.100000000000001" customHeight="1">
      <c r="B117" s="495"/>
      <c r="C117" s="125" t="s">
        <v>532</v>
      </c>
      <c r="D117" s="187">
        <f>F117</f>
        <v>0.2</v>
      </c>
      <c r="E117" s="173">
        <f t="shared" si="20"/>
        <v>0.15000000000000002</v>
      </c>
      <c r="F117" s="183">
        <v>0.2</v>
      </c>
      <c r="G117" s="173">
        <f t="shared" si="21"/>
        <v>0.25</v>
      </c>
      <c r="I117" s="217" t="s">
        <v>354</v>
      </c>
      <c r="J117" s="246">
        <f>SUMPRODUCT(--('Current Strategy'!$G$12:$G$300=I117),'Current Strategy'!$K$12:$K$300)/8</f>
        <v>0</v>
      </c>
      <c r="K117" s="246">
        <f t="shared" si="19"/>
        <v>0</v>
      </c>
      <c r="L117" s="246">
        <f>SUMPRODUCT(--('Expanded Contact Investigaton'!$G$13:$G$283=I117),'Expanded Contact Investigaton'!$K$13:$K$283)/8</f>
        <v>0</v>
      </c>
      <c r="M117" s="246">
        <f>SUMPRODUCT(--('Testing CHW LTCF Employees+Res'!$G$17:$G$351=I117),'Testing CHW LTCF Employees+Res'!$K$17:$K$351)/8</f>
        <v>0</v>
      </c>
      <c r="N117" s="246">
        <f>SUMPRODUCT(--('Testing Hospital Employees'!$G$17:$G$339=I117),'Testing Hospital Employees'!$K$17:$K$339)/8</f>
        <v>0</v>
      </c>
      <c r="O117" s="246">
        <f>SUMPRODUCT(--('Testing Essential Workers'!$G$17:$G$360=I117),'Testing Essential Workers'!$K$17:$K$360)/8</f>
        <v>0</v>
      </c>
      <c r="P117" s="246">
        <f>SUMPRODUCT(--('Testing Schoolchildren &amp; Staff'!$G$17:$G$360=I117),'Testing Schoolchildren &amp; Staff'!$K$17:$K$360)/8</f>
        <v>0</v>
      </c>
      <c r="Q117"/>
      <c r="R117"/>
      <c r="S117"/>
      <c r="X117" s="330"/>
      <c r="Y117" s="330"/>
      <c r="Z117" s="330"/>
      <c r="AA117" s="330"/>
    </row>
    <row r="118" spans="2:27">
      <c r="B118" s="495"/>
      <c r="C118" s="125" t="s">
        <v>534</v>
      </c>
      <c r="D118" s="187">
        <f>F118</f>
        <v>0.3125</v>
      </c>
      <c r="E118" s="173">
        <f t="shared" si="20"/>
        <v>0.234375</v>
      </c>
      <c r="F118" s="183">
        <v>0.3125</v>
      </c>
      <c r="G118" s="173">
        <f t="shared" si="21"/>
        <v>0.390625</v>
      </c>
      <c r="I118" s="217" t="s">
        <v>32</v>
      </c>
      <c r="J118" s="246">
        <f>SUMPRODUCT(--('Current Strategy'!$G$12:$G$300=I118),'Current Strategy'!$K$12:$K$300)/8</f>
        <v>0.15022171785882543</v>
      </c>
      <c r="K118" s="246">
        <f t="shared" si="19"/>
        <v>0.30166447368455995</v>
      </c>
      <c r="L118" s="246">
        <f>SUMPRODUCT(--('Expanded Contact Investigaton'!$G$13:$G$283=I118),'Expanded Contact Investigaton'!$K$13:$K$283)/8</f>
        <v>0.15144275582573452</v>
      </c>
      <c r="M118" s="246">
        <f>SUMPRODUCT(--('Testing CHW LTCF Employees+Res'!$G$17:$G$351=I118),'Testing CHW LTCF Employees+Res'!$K$17:$K$351)/8</f>
        <v>0.14956404761904762</v>
      </c>
      <c r="N118" s="246">
        <f>SUMPRODUCT(--('Testing Hospital Employees'!$G$17:$G$339=I118),'Testing Hospital Employees'!$K$17:$K$339)/8</f>
        <v>0.14956404761904762</v>
      </c>
      <c r="O118" s="246">
        <f>SUMPRODUCT(--('Testing Essential Workers'!$G$17:$G$360=I118),'Testing Essential Workers'!$K$17:$K$360)/8</f>
        <v>0.1494791843971631</v>
      </c>
      <c r="P118" s="246">
        <f>SUMPRODUCT(--('Testing Schoolchildren &amp; Staff'!$G$17:$G$360=I118),'Testing Schoolchildren &amp; Staff'!$K$17:$K$360)/8</f>
        <v>0.14949476190476188</v>
      </c>
      <c r="Q118"/>
      <c r="R118"/>
      <c r="S118"/>
      <c r="X118" s="330"/>
      <c r="Y118" s="330"/>
      <c r="Z118" s="330"/>
      <c r="AA118" s="330"/>
    </row>
    <row r="119" spans="2:27" ht="16.5" thickBot="1">
      <c r="B119" s="496"/>
      <c r="C119" s="184" t="s">
        <v>533</v>
      </c>
      <c r="D119" s="188">
        <f>F119</f>
        <v>0.44750000000000001</v>
      </c>
      <c r="E119" s="163">
        <f t="shared" si="20"/>
        <v>0.33562500000000001</v>
      </c>
      <c r="F119" s="185">
        <f>44.75/100</f>
        <v>0.44750000000000001</v>
      </c>
      <c r="G119" s="163">
        <f t="shared" si="21"/>
        <v>0.55937499999999996</v>
      </c>
      <c r="I119" s="217" t="s">
        <v>33</v>
      </c>
      <c r="J119" s="246">
        <f>SUMPRODUCT(--('Current Strategy'!$G$12:$G$300=I119),'Current Strategy'!$K$12:$K$300)/8</f>
        <v>4.5521732684492555E-2</v>
      </c>
      <c r="K119" s="246">
        <f t="shared" si="19"/>
        <v>9.1413476874109084E-2</v>
      </c>
      <c r="L119" s="246">
        <f>SUMPRODUCT(--('Expanded Contact Investigaton'!$G$13:$G$283=I119),'Expanded Contact Investigaton'!$K$13:$K$283)/8</f>
        <v>4.5891744189616529E-2</v>
      </c>
      <c r="M119" s="246">
        <f>SUMPRODUCT(--('Testing CHW LTCF Employees+Res'!$G$17:$G$351=I119),'Testing CHW LTCF Employees+Res'!$K$17:$K$351)/8</f>
        <v>4.5322438672438667E-2</v>
      </c>
      <c r="N119" s="246">
        <f>SUMPRODUCT(--('Testing Hospital Employees'!$G$17:$G$339=I119),'Testing Hospital Employees'!$K$17:$K$339)/8</f>
        <v>4.5322438672438667E-2</v>
      </c>
      <c r="O119" s="246">
        <f>SUMPRODUCT(--('Testing Essential Workers'!$G$17:$G$360=I119),'Testing Essential Workers'!$K$17:$K$360)/8</f>
        <v>4.5296722544594881E-2</v>
      </c>
      <c r="P119" s="246">
        <f>SUMPRODUCT(--('Testing Schoolchildren &amp; Staff'!$G$17:$G$360=I119),'Testing Schoolchildren &amp; Staff'!$K$17:$K$360)/8</f>
        <v>4.5301443001442995E-2</v>
      </c>
      <c r="Q119"/>
      <c r="R119"/>
      <c r="S119"/>
      <c r="X119" s="330"/>
      <c r="Y119" s="330"/>
      <c r="Z119" s="330"/>
      <c r="AA119" s="330"/>
    </row>
    <row r="120" spans="2:27">
      <c r="B120" s="503" t="s">
        <v>427</v>
      </c>
      <c r="C120" s="280" t="s">
        <v>492</v>
      </c>
      <c r="D120" s="305">
        <f>AI16</f>
        <v>7500</v>
      </c>
      <c r="E120" s="281">
        <v>5000</v>
      </c>
      <c r="F120" s="282">
        <f>D120</f>
        <v>7500</v>
      </c>
      <c r="G120" s="281">
        <v>60000</v>
      </c>
      <c r="I120" s="217" t="s">
        <v>34</v>
      </c>
      <c r="J120" s="246">
        <f>SUMPRODUCT(--('Current Strategy'!$G$12:$G$300=I120),'Current Strategy'!$K$12:$K$300)/8</f>
        <v>1.5022171785882544E-2</v>
      </c>
      <c r="K120" s="246">
        <f t="shared" si="19"/>
        <v>3.0166447368455994E-2</v>
      </c>
      <c r="L120" s="246">
        <f>SUMPRODUCT(--('Expanded Contact Investigaton'!$G$13:$G$283=I120),'Expanded Contact Investigaton'!$K$13:$K$283)/8</f>
        <v>1.5144275582573452E-2</v>
      </c>
      <c r="M120" s="246">
        <f>SUMPRODUCT(--('Testing CHW LTCF Employees+Res'!$G$17:$G$351=I120),'Testing CHW LTCF Employees+Res'!$K$17:$K$351)/8</f>
        <v>1.4956404761904759E-2</v>
      </c>
      <c r="N120" s="246">
        <f>SUMPRODUCT(--('Testing Hospital Employees'!$G$17:$G$339=I120),'Testing Hospital Employees'!$K$17:$K$339)/8</f>
        <v>1.4956404761904759E-2</v>
      </c>
      <c r="O120" s="246">
        <f>SUMPRODUCT(--('Testing Essential Workers'!$G$17:$G$360=I120),'Testing Essential Workers'!$K$17:$K$360)/8</f>
        <v>1.494791843971631E-2</v>
      </c>
      <c r="P120" s="246">
        <f>SUMPRODUCT(--('Testing Schoolchildren &amp; Staff'!$G$17:$G$360=I120),'Testing Schoolchildren &amp; Staff'!$K$17:$K$360)/8</f>
        <v>1.4949476190476187E-2</v>
      </c>
      <c r="Q120"/>
      <c r="R120"/>
      <c r="S120"/>
      <c r="X120" s="330"/>
      <c r="Y120" s="330"/>
      <c r="Z120" s="330"/>
      <c r="AA120" s="330"/>
    </row>
    <row r="121" spans="2:27">
      <c r="B121" s="504"/>
      <c r="C121" s="210" t="s">
        <v>313</v>
      </c>
      <c r="D121" s="189">
        <v>47</v>
      </c>
      <c r="E121" s="211">
        <f>F121*0.75</f>
        <v>35.25</v>
      </c>
      <c r="F121" s="211">
        <v>47</v>
      </c>
      <c r="G121" s="211">
        <f>F121*1.25</f>
        <v>58.75</v>
      </c>
      <c r="I121" s="217" t="s">
        <v>450</v>
      </c>
      <c r="J121" s="246">
        <f>SUMPRODUCT(--('Current Strategy'!$G$12:$G$300=I121),'Current Strategy'!$K$12:$K$300)/8</f>
        <v>3.8942436476122839E-2</v>
      </c>
      <c r="K121" s="246">
        <f t="shared" si="19"/>
        <v>0.79009589102157729</v>
      </c>
      <c r="L121" s="246">
        <f>SUMPRODUCT(--('Expanded Contact Investigaton'!$G$13:$G$283=I121),'Expanded Contact Investigaton'!$K$13:$K$283)/8</f>
        <v>0.75115345454545446</v>
      </c>
      <c r="M121" s="246">
        <f>SUMPRODUCT(--('Testing CHW LTCF Employees+Res'!$G$17:$G$351=I121),'Testing CHW LTCF Employees+Res'!$K$17:$K$351)/8</f>
        <v>7.9050981818181813E-3</v>
      </c>
      <c r="N121" s="246">
        <f>SUMPRODUCT(--('Testing Hospital Employees'!$G$17:$G$339=I121),'Testing Hospital Employees'!$K$17:$K$339)/8</f>
        <v>7.9050981818181813E-3</v>
      </c>
      <c r="O121" s="246">
        <f>SUMPRODUCT(--('Testing Essential Workers'!$G$17:$G$360=I121),'Testing Essential Workers'!$K$17:$K$360)/8</f>
        <v>0</v>
      </c>
      <c r="P121" s="246">
        <f>SUMPRODUCT(--('Testing Schoolchildren &amp; Staff'!$G$17:$G$360=I121),'Testing Schoolchildren &amp; Staff'!$K$17:$K$360)/8</f>
        <v>0</v>
      </c>
      <c r="Q121"/>
      <c r="R121"/>
      <c r="S121"/>
      <c r="X121" s="330"/>
      <c r="Y121" s="330"/>
      <c r="Z121" s="330"/>
      <c r="AA121" s="330"/>
    </row>
    <row r="122" spans="2:27" ht="16.5" thickBot="1">
      <c r="B122" s="505"/>
      <c r="C122" s="212" t="s">
        <v>241</v>
      </c>
      <c r="D122" s="112">
        <v>8700</v>
      </c>
      <c r="E122" s="213">
        <f>F122*0.75</f>
        <v>6525</v>
      </c>
      <c r="F122" s="213">
        <f>D122</f>
        <v>8700</v>
      </c>
      <c r="G122" s="213">
        <f>F122*1.25</f>
        <v>10875</v>
      </c>
      <c r="I122" s="217" t="s">
        <v>180</v>
      </c>
      <c r="J122" s="246">
        <f>SUMPRODUCT(--('Current Strategy'!$G$12:$G$300=I122),'Current Strategy'!$K$12:$K$300)/8</f>
        <v>7.7884872952245689E-3</v>
      </c>
      <c r="K122" s="246">
        <f t="shared" si="19"/>
        <v>0.15801917820431546</v>
      </c>
      <c r="L122" s="246">
        <f>SUMPRODUCT(--('Expanded Contact Investigaton'!$G$13:$G$283=I122),'Expanded Contact Investigaton'!$K$13:$K$283)/8</f>
        <v>0.15023069090909089</v>
      </c>
      <c r="M122" s="246">
        <f>SUMPRODUCT(--('Testing CHW LTCF Employees+Res'!$G$17:$G$351=I122),'Testing CHW LTCF Employees+Res'!$K$17:$K$351)/8</f>
        <v>8.8081674944358396E-2</v>
      </c>
      <c r="N122" s="246">
        <f>SUMPRODUCT(--('Testing Hospital Employees'!$G$17:$G$339=I122),'Testing Hospital Employees'!$K$17:$K$339)/8</f>
        <v>4.0889621868640764E-2</v>
      </c>
      <c r="O122" s="246">
        <f>SUMPRODUCT(--('Testing Essential Workers'!$G$17:$G$360=I122),'Testing Essential Workers'!$K$17:$K$360)/8</f>
        <v>0.19562614989706234</v>
      </c>
      <c r="P122" s="246">
        <f>SUMPRODUCT(--('Testing Schoolchildren &amp; Staff'!$G$17:$G$360=I122),'Testing Schoolchildren &amp; Staff'!$K$17:$K$360)/8</f>
        <v>4.56815151494094E-2</v>
      </c>
      <c r="Q122"/>
      <c r="R122"/>
      <c r="S122"/>
    </row>
    <row r="123" spans="2:27" ht="51.95" customHeight="1">
      <c r="B123" s="506" t="s">
        <v>428</v>
      </c>
      <c r="C123" s="179" t="s">
        <v>240</v>
      </c>
      <c r="D123" s="180">
        <f>IF(AND(D5="OFF",D8="OFF"), F123, 0.8)</f>
        <v>0</v>
      </c>
      <c r="E123" s="181">
        <f t="shared" si="18"/>
        <v>0</v>
      </c>
      <c r="F123" s="182">
        <v>0</v>
      </c>
      <c r="G123" s="181">
        <f t="shared" si="16"/>
        <v>0</v>
      </c>
      <c r="I123" s="217" t="s">
        <v>353</v>
      </c>
      <c r="J123" s="246">
        <f>SUMPRODUCT(--('Current Strategy'!$G$12:$G$300=I123),'Current Strategy'!$K$12:$K$300)/8</f>
        <v>2.3364612263409582E-2</v>
      </c>
      <c r="K123" s="246">
        <f t="shared" si="19"/>
        <v>0.47404029678397241</v>
      </c>
      <c r="L123" s="246">
        <f>SUMPRODUCT(--('Expanded Contact Investigaton'!$G$13:$G$283=I123),'Expanded Contact Investigaton'!$K$13:$K$283)/8</f>
        <v>0.45067568452056284</v>
      </c>
      <c r="M123" s="246">
        <f>SUMPRODUCT(--('Testing CHW LTCF Employees+Res'!$G$17:$G$351=I123),'Testing CHW LTCF Employees+Res'!$K$17:$K$351)/8</f>
        <v>4.7428864404930726E-3</v>
      </c>
      <c r="N123" s="246">
        <f>SUMPRODUCT(--('Testing Hospital Employees'!$G$17:$G$339=I123),'Testing Hospital Employees'!$K$17:$K$339)/8</f>
        <v>4.7428864404930726E-3</v>
      </c>
      <c r="O123" s="246">
        <f>SUMPRODUCT(--('Testing Essential Workers'!$G$17:$G$360=I123),'Testing Essential Workers'!$K$17:$K$360)/8</f>
        <v>1.9665626704483473E-3</v>
      </c>
      <c r="P123" s="246">
        <f>SUMPRODUCT(--('Testing Schoolchildren &amp; Staff'!$G$17:$G$360=I123),'Testing Schoolchildren &amp; Staff'!$K$17:$K$360)/8</f>
        <v>1.0025613614050397E-3</v>
      </c>
      <c r="Q123"/>
      <c r="R123"/>
      <c r="S123"/>
    </row>
    <row r="124" spans="2:27" ht="21.95" customHeight="1" thickBot="1">
      <c r="B124" s="507"/>
      <c r="C124" s="125" t="s">
        <v>435</v>
      </c>
      <c r="D124" s="172">
        <v>0.6</v>
      </c>
      <c r="E124" s="173">
        <f t="shared" si="18"/>
        <v>0.44999999999999996</v>
      </c>
      <c r="F124" s="183">
        <v>0.6</v>
      </c>
      <c r="G124" s="173">
        <f>IF(F124*1.25&gt;1,1,F124*1.25)</f>
        <v>0.75</v>
      </c>
      <c r="I124" s="224" t="s">
        <v>230</v>
      </c>
      <c r="J124" s="247">
        <f>SUMPRODUCT(--('Current Strategy'!$G$12:$G$300=I124),'Current Strategy'!$K$12:$K$300)/8</f>
        <v>0</v>
      </c>
      <c r="K124" s="247">
        <f t="shared" si="19"/>
        <v>0</v>
      </c>
      <c r="L124" s="247">
        <f>SUMPRODUCT(--('Expanded Contact Investigaton'!$G$13:$G$283=I124),'Expanded Contact Investigaton'!$K$13:$K$283)/8</f>
        <v>0</v>
      </c>
      <c r="M124" s="247">
        <f>SUMPRODUCT(--('Testing CHW LTCF Employees+Res'!$G$17:$G$351=I124),'Testing CHW LTCF Employees+Res'!$K$17:$K$351)/8</f>
        <v>0</v>
      </c>
      <c r="N124" s="247">
        <f>SUMPRODUCT(--('Testing Hospital Employees'!$G$17:$G$339=I124),'Testing Hospital Employees'!$K$17:$K$339)/8</f>
        <v>0</v>
      </c>
      <c r="O124" s="247">
        <f>SUMPRODUCT(--('Testing Essential Workers'!$G$17:$G$360=I124),'Testing Essential Workers'!$K$17:$K$360)/8</f>
        <v>0</v>
      </c>
      <c r="P124" s="247">
        <f>SUMPRODUCT(--('Testing Schoolchildren &amp; Staff'!$G$17:$G$360=I124),'Testing Schoolchildren &amp; Staff'!$K$17:$K$360)/8</f>
        <v>0</v>
      </c>
      <c r="Q124"/>
      <c r="R124"/>
      <c r="S124"/>
    </row>
    <row r="125" spans="2:27" ht="32.25" thickBot="1">
      <c r="B125" s="507"/>
      <c r="C125" s="237" t="s">
        <v>436</v>
      </c>
      <c r="D125" s="238">
        <f>F125</f>
        <v>1</v>
      </c>
      <c r="E125" s="173">
        <f t="shared" si="18"/>
        <v>0.75</v>
      </c>
      <c r="F125" s="239">
        <v>1</v>
      </c>
      <c r="G125" s="173">
        <f>IF(F125*1.25&gt;1,1,F125*1.25)</f>
        <v>1</v>
      </c>
      <c r="P125"/>
      <c r="Q125"/>
      <c r="R125"/>
      <c r="S125"/>
    </row>
    <row r="126" spans="2:27" ht="20.100000000000001" customHeight="1" thickBot="1">
      <c r="B126" s="507"/>
      <c r="C126" s="214" t="s">
        <v>242</v>
      </c>
      <c r="D126" s="172">
        <v>0.15</v>
      </c>
      <c r="E126" s="215">
        <f t="shared" si="18"/>
        <v>0.11249999999999999</v>
      </c>
      <c r="F126" s="216">
        <v>0.15</v>
      </c>
      <c r="G126" s="215">
        <f t="shared" si="16"/>
        <v>0.1875</v>
      </c>
      <c r="I126" s="537" t="s">
        <v>597</v>
      </c>
      <c r="J126" s="538"/>
      <c r="K126" s="538"/>
      <c r="L126" s="538"/>
      <c r="M126" s="538"/>
      <c r="N126" s="538"/>
      <c r="O126" s="538"/>
      <c r="P126" s="539"/>
      <c r="Q126"/>
      <c r="R126"/>
      <c r="S126"/>
    </row>
    <row r="127" spans="2:27" ht="16.5" thickBot="1">
      <c r="B127" s="507"/>
      <c r="C127" s="125" t="s">
        <v>243</v>
      </c>
      <c r="D127" s="172">
        <f>1-D126</f>
        <v>0.85</v>
      </c>
      <c r="E127" s="173">
        <f t="shared" si="18"/>
        <v>0.63749999999999996</v>
      </c>
      <c r="F127" s="183">
        <f>1-F126</f>
        <v>0.85</v>
      </c>
      <c r="G127" s="173">
        <v>1</v>
      </c>
      <c r="P127"/>
      <c r="Q127"/>
      <c r="R127"/>
      <c r="S127"/>
    </row>
    <row r="128" spans="2:27" ht="63.75" thickBot="1">
      <c r="B128" s="508"/>
      <c r="C128" s="184" t="s">
        <v>275</v>
      </c>
      <c r="D128" s="162">
        <f>IF(D6="OFF",F128,1)</f>
        <v>0</v>
      </c>
      <c r="E128" s="163">
        <f t="shared" si="18"/>
        <v>0</v>
      </c>
      <c r="F128" s="185">
        <v>0</v>
      </c>
      <c r="G128" s="163">
        <f t="shared" si="16"/>
        <v>0</v>
      </c>
      <c r="I128" s="100" t="s">
        <v>472</v>
      </c>
      <c r="J128" s="433" t="s">
        <v>217</v>
      </c>
      <c r="K128" s="433" t="s">
        <v>591</v>
      </c>
      <c r="L128" s="433" t="s">
        <v>218</v>
      </c>
      <c r="M128" s="449" t="s">
        <v>282</v>
      </c>
      <c r="N128" s="449" t="s">
        <v>265</v>
      </c>
      <c r="O128" s="449" t="s">
        <v>219</v>
      </c>
      <c r="P128" s="450" t="s">
        <v>596</v>
      </c>
      <c r="Q128"/>
      <c r="R128"/>
      <c r="S128"/>
    </row>
    <row r="129" spans="2:19" ht="17.100000000000001" customHeight="1">
      <c r="B129" s="509" t="s">
        <v>429</v>
      </c>
      <c r="C129" s="103" t="s">
        <v>304</v>
      </c>
      <c r="D129" s="190">
        <f>IF(D8="OFF",1,0)</f>
        <v>1</v>
      </c>
      <c r="E129" s="191">
        <v>0</v>
      </c>
      <c r="F129" s="191">
        <v>1</v>
      </c>
      <c r="G129" s="191">
        <v>1</v>
      </c>
      <c r="I129" t="s">
        <v>469</v>
      </c>
      <c r="J129" s="250">
        <f t="shared" ref="J129:P129" si="22">SUM(J105,J107,J109,J111,J116,J117,J121,J122,J115,J114)</f>
        <v>2.7809505266051171</v>
      </c>
      <c r="K129" s="250">
        <f t="shared" si="22"/>
        <v>7.1453301929007269</v>
      </c>
      <c r="L129" s="250">
        <f t="shared" si="22"/>
        <v>4.3643796662956094</v>
      </c>
      <c r="M129" s="258">
        <f t="shared" si="22"/>
        <v>14.018863837881993</v>
      </c>
      <c r="N129" s="258">
        <f t="shared" si="22"/>
        <v>1.5856815109055928</v>
      </c>
      <c r="O129" s="250">
        <f t="shared" si="22"/>
        <v>12.582625879764576</v>
      </c>
      <c r="P129" s="250">
        <f t="shared" si="22"/>
        <v>14.660458034196331</v>
      </c>
      <c r="Q129"/>
      <c r="R129"/>
      <c r="S129"/>
    </row>
    <row r="130" spans="2:19">
      <c r="B130" s="510"/>
      <c r="C130" s="5" t="s">
        <v>318</v>
      </c>
      <c r="D130" s="189">
        <f>IF(D8="OFF",1,0.5)</f>
        <v>1</v>
      </c>
      <c r="E130" s="114">
        <v>0</v>
      </c>
      <c r="F130" s="114">
        <v>1</v>
      </c>
      <c r="G130" s="114">
        <v>1</v>
      </c>
      <c r="I130" t="s">
        <v>470</v>
      </c>
      <c r="J130" s="250">
        <f t="shared" ref="J130:P130" si="23">SUM(J104,J123,J124)</f>
        <v>7.8559892081711817</v>
      </c>
      <c r="K130" s="250">
        <f t="shared" si="23"/>
        <v>19.623308481436336</v>
      </c>
      <c r="L130" s="250">
        <f t="shared" si="23"/>
        <v>11.767319273265153</v>
      </c>
      <c r="M130" s="258">
        <f t="shared" si="23"/>
        <v>15.421862199539801</v>
      </c>
      <c r="N130" s="258">
        <f t="shared" si="23"/>
        <v>3.2268167917548403</v>
      </c>
      <c r="O130" s="250">
        <f t="shared" si="23"/>
        <v>13.975179808738055</v>
      </c>
      <c r="P130" s="250">
        <f t="shared" si="23"/>
        <v>16.047707764073749</v>
      </c>
      <c r="Q130"/>
      <c r="R130"/>
      <c r="S130"/>
    </row>
    <row r="131" spans="2:19" ht="32.25" thickBot="1">
      <c r="B131" s="510"/>
      <c r="C131" s="5" t="s">
        <v>316</v>
      </c>
      <c r="D131" s="189">
        <f>IF(D8="OFF",1,0.5)</f>
        <v>1</v>
      </c>
      <c r="E131" s="114">
        <f t="shared" si="18"/>
        <v>0.75</v>
      </c>
      <c r="F131" s="114">
        <v>1</v>
      </c>
      <c r="G131" s="114">
        <f t="shared" si="16"/>
        <v>1.25</v>
      </c>
      <c r="I131" s="241" t="s">
        <v>471</v>
      </c>
      <c r="J131" s="251">
        <f t="shared" ref="J131:P131" si="24">SUM(J108,J113,J118,J119,J120)</f>
        <v>1.7280049727033375</v>
      </c>
      <c r="K131" s="251">
        <f t="shared" si="24"/>
        <v>3.4700555821411814</v>
      </c>
      <c r="L131" s="251">
        <f t="shared" si="24"/>
        <v>1.7420506094378434</v>
      </c>
      <c r="M131" s="259">
        <f t="shared" si="24"/>
        <v>1.7204397720057722</v>
      </c>
      <c r="N131" s="259">
        <f t="shared" si="24"/>
        <v>1.8204142975057722</v>
      </c>
      <c r="O131" s="251">
        <f t="shared" si="24"/>
        <v>1.7194635877928217</v>
      </c>
      <c r="P131" s="251">
        <f t="shared" si="24"/>
        <v>1.7196427763347764</v>
      </c>
      <c r="Q131"/>
      <c r="R131"/>
      <c r="S131"/>
    </row>
    <row r="132" spans="2:19" ht="17.100000000000001" customHeight="1" thickBot="1">
      <c r="B132" s="510"/>
      <c r="C132" s="5" t="s">
        <v>315</v>
      </c>
      <c r="D132" s="189">
        <f>IF(D8="OFF",1,0.5)</f>
        <v>1</v>
      </c>
      <c r="E132" s="114">
        <f t="shared" si="18"/>
        <v>0.75</v>
      </c>
      <c r="F132" s="114">
        <v>1</v>
      </c>
      <c r="G132" s="114">
        <f t="shared" si="16"/>
        <v>1.25</v>
      </c>
      <c r="P132"/>
      <c r="Q132"/>
      <c r="R132"/>
      <c r="S132"/>
    </row>
    <row r="133" spans="2:19" ht="35.1" customHeight="1" thickBot="1">
      <c r="B133" s="511"/>
      <c r="C133" s="28" t="s">
        <v>317</v>
      </c>
      <c r="D133" s="112">
        <f>IF(D8="OFF",1,0.5)</f>
        <v>1</v>
      </c>
      <c r="E133" s="113">
        <f>F133*0.75</f>
        <v>0.75</v>
      </c>
      <c r="F133" s="113">
        <v>1</v>
      </c>
      <c r="G133" s="113">
        <f>F133*1.25</f>
        <v>1.25</v>
      </c>
      <c r="I133" s="537" t="s">
        <v>598</v>
      </c>
      <c r="J133" s="538"/>
      <c r="K133" s="538"/>
      <c r="L133" s="538"/>
      <c r="M133" s="538"/>
      <c r="N133" s="538"/>
      <c r="O133" s="538"/>
      <c r="P133" s="539"/>
      <c r="Q133"/>
      <c r="R133"/>
      <c r="S133"/>
    </row>
    <row r="134" spans="2:19" ht="20.100000000000001" customHeight="1" thickBot="1">
      <c r="B134" s="497" t="s">
        <v>231</v>
      </c>
      <c r="C134" s="179" t="s">
        <v>417</v>
      </c>
      <c r="D134" s="209">
        <f>IF(D19="OFF",1,#REF!)</f>
        <v>1</v>
      </c>
      <c r="E134" s="181">
        <f>F134*0.75</f>
        <v>0.75</v>
      </c>
      <c r="F134" s="182">
        <v>1</v>
      </c>
      <c r="G134" s="181">
        <f>F134*1.25</f>
        <v>1.25</v>
      </c>
      <c r="P134"/>
      <c r="Q134"/>
      <c r="R134"/>
      <c r="S134"/>
    </row>
    <row r="135" spans="2:19" ht="21" customHeight="1" thickBot="1">
      <c r="B135" s="498"/>
      <c r="C135" s="125" t="s">
        <v>328</v>
      </c>
      <c r="D135" s="187">
        <f>IF(D13="OFF",0,1)</f>
        <v>0</v>
      </c>
      <c r="E135" s="173">
        <v>0</v>
      </c>
      <c r="F135" s="173">
        <v>0</v>
      </c>
      <c r="G135" s="173">
        <v>0</v>
      </c>
      <c r="I135" s="456" t="s">
        <v>482</v>
      </c>
      <c r="J135" s="457"/>
      <c r="K135" s="457"/>
      <c r="L135" s="457"/>
      <c r="M135" s="457"/>
      <c r="N135" s="457"/>
      <c r="O135" s="457"/>
      <c r="P135" s="458"/>
      <c r="Q135"/>
      <c r="R135"/>
      <c r="S135"/>
    </row>
    <row r="136" spans="2:19" ht="16.5" thickBot="1">
      <c r="B136" s="498"/>
      <c r="C136" s="125" t="s">
        <v>327</v>
      </c>
      <c r="D136" s="192">
        <f>D14</f>
        <v>4</v>
      </c>
      <c r="E136" s="173">
        <v>2</v>
      </c>
      <c r="F136" s="173">
        <v>4</v>
      </c>
      <c r="G136" s="173">
        <v>8</v>
      </c>
      <c r="I136" s="130"/>
      <c r="J136" s="151"/>
      <c r="K136" s="151"/>
      <c r="L136" s="151"/>
      <c r="M136" s="151"/>
      <c r="N136" s="151"/>
      <c r="O136" s="151"/>
      <c r="P136" s="151"/>
      <c r="Q136"/>
      <c r="R136"/>
      <c r="S136"/>
    </row>
    <row r="137" spans="2:19" ht="63.75" thickBot="1">
      <c r="B137" s="498"/>
      <c r="C137" s="125" t="s">
        <v>497</v>
      </c>
      <c r="D137" s="172">
        <f>IF(D20="OFF",F137,1)</f>
        <v>0</v>
      </c>
      <c r="E137" s="173">
        <f>F137*0.75</f>
        <v>0</v>
      </c>
      <c r="F137" s="183">
        <v>0</v>
      </c>
      <c r="G137" s="173">
        <v>0</v>
      </c>
      <c r="I137" s="100" t="s">
        <v>448</v>
      </c>
      <c r="J137" s="433" t="s">
        <v>217</v>
      </c>
      <c r="K137" s="433" t="s">
        <v>591</v>
      </c>
      <c r="L137" s="433" t="s">
        <v>218</v>
      </c>
      <c r="M137" s="449" t="s">
        <v>282</v>
      </c>
      <c r="N137" s="449" t="s">
        <v>265</v>
      </c>
      <c r="O137" s="449" t="s">
        <v>219</v>
      </c>
      <c r="P137" s="450" t="s">
        <v>596</v>
      </c>
      <c r="Q137"/>
      <c r="R137"/>
      <c r="S137"/>
    </row>
    <row r="138" spans="2:19">
      <c r="B138" s="498"/>
      <c r="C138" s="5" t="s">
        <v>297</v>
      </c>
      <c r="D138" s="189">
        <v>28</v>
      </c>
      <c r="E138" s="114">
        <f t="shared" si="18"/>
        <v>21</v>
      </c>
      <c r="F138" s="114">
        <v>28</v>
      </c>
      <c r="G138" s="114">
        <f t="shared" si="16"/>
        <v>35</v>
      </c>
      <c r="I138" s="217" t="s">
        <v>14</v>
      </c>
      <c r="J138" s="253">
        <f>SUMPRODUCT(--('Current Strategy'!$G$12:$G$15=I138),'Current Strategy'!$K$12:$K$15)/8</f>
        <v>3.9166666666666665</v>
      </c>
      <c r="K138" s="253">
        <f t="shared" ref="K138:K158" si="25">J138+L138</f>
        <v>9.7809095238095232</v>
      </c>
      <c r="L138" s="253">
        <f>SUMPRODUCT(--('Expanded Contact Investigaton'!$G$13:$G$23=I138),'Expanded Contact Investigaton'!$K$13:$K$23)/8</f>
        <v>5.8642428571428571</v>
      </c>
      <c r="M138" s="253">
        <f>SUMPRODUCT(--('Testing CHW LTCF Employees+Res'!$G$17:$G$22=I138),'Testing CHW LTCF Employees+Res'!$K$17:$K$22)/8</f>
        <v>0.41109654867313239</v>
      </c>
      <c r="N138" s="253">
        <f>SUMPRODUCT(--('Testing Hospital Employees'!$G$17:$G$22=I138),'Testing Hospital Employees'!$K$17:$K$22)/8</f>
        <v>0.31671244252169711</v>
      </c>
      <c r="O138" s="253">
        <f>SUMPRODUCT(--('Testing Essential Workers'!$G$17:$G$22=I138),'Testing Essential Workers'!$K$17:$K$22)/8</f>
        <v>0.62803644843481732</v>
      </c>
      <c r="P138" s="253">
        <f>SUMPRODUCT(--('Testing Schoolchildren &amp; Staff'!$G$17:$G$24=I138),'Testing Schoolchildren &amp; Staff'!$K$17:$K$24)/8</f>
        <v>0.32878986981050712</v>
      </c>
      <c r="Q138"/>
      <c r="R138"/>
      <c r="S138"/>
    </row>
    <row r="139" spans="2:19" ht="16.5" thickBot="1">
      <c r="B139" s="499"/>
      <c r="C139" s="5" t="s">
        <v>537</v>
      </c>
      <c r="D139" s="189">
        <f>IF(D23="OFF",1,D24)</f>
        <v>1</v>
      </c>
      <c r="E139" s="114">
        <v>0.6</v>
      </c>
      <c r="F139" s="114">
        <f>D139</f>
        <v>1</v>
      </c>
      <c r="G139" s="114">
        <v>1</v>
      </c>
      <c r="I139" s="217" t="s">
        <v>17</v>
      </c>
      <c r="J139" s="246">
        <f>SUMPRODUCT(--('Current Strategy'!$G$12:$G$15=I139),'Current Strategy'!$K$12:$K$15)/8</f>
        <v>0.78333333333333333</v>
      </c>
      <c r="K139" s="246">
        <f t="shared" si="25"/>
        <v>1.2595238095238095</v>
      </c>
      <c r="L139" s="246">
        <f>SUMPRODUCT(--('Expanded Contact Investigaton'!$G$13:$G$23=I139),'Expanded Contact Investigaton'!$K$13:$K$23)/8</f>
        <v>0.47619047619047616</v>
      </c>
      <c r="M139" s="246">
        <f>SUMPRODUCT(--('Testing CHW LTCF Employees+Res'!$G$17:$G$22=I139),'Testing CHW LTCF Employees+Res'!$K$17:$K$22)/8</f>
        <v>8.6500655307994764E-2</v>
      </c>
      <c r="N139" s="246">
        <f>SUMPRODUCT(--('Testing Hospital Employees'!$G$17:$G$22=I139),'Testing Hospital Employees'!$K$17:$K$22)/8</f>
        <v>3.9308602232277126E-2</v>
      </c>
      <c r="O139" s="246">
        <f>SUMPRODUCT(--('Testing Essential Workers'!$G$17:$G$22=I139),'Testing Essential Workers'!$K$17:$K$22)/8</f>
        <v>0.19497060516978962</v>
      </c>
      <c r="P139" s="246">
        <f>SUMPRODUCT(--('Testing Schoolchildren &amp; Staff'!$G$17:$G$24=I139),'Testing Schoolchildren &amp; Staff'!$K$17:$K$24)/8</f>
        <v>4.5347315876682129E-2</v>
      </c>
      <c r="Q139"/>
      <c r="R139"/>
      <c r="S139"/>
    </row>
    <row r="140" spans="2:19">
      <c r="B140" s="486" t="s">
        <v>524</v>
      </c>
      <c r="C140" s="179" t="s">
        <v>515</v>
      </c>
      <c r="D140" s="349">
        <f t="shared" ref="D140:D159" si="26">F140</f>
        <v>18.8</v>
      </c>
      <c r="E140" s="355">
        <v>9.4</v>
      </c>
      <c r="F140" s="350">
        <v>18.8</v>
      </c>
      <c r="G140" s="355">
        <v>28.200000000000003</v>
      </c>
      <c r="I140" s="217" t="s">
        <v>12</v>
      </c>
      <c r="J140" s="246">
        <f>SUMPRODUCT(--('Current Strategy'!$G$12:$G$15=I140),'Current Strategy'!$K$12:$K$15)/8</f>
        <v>0</v>
      </c>
      <c r="K140" s="246">
        <f t="shared" si="25"/>
        <v>0</v>
      </c>
      <c r="L140" s="246">
        <f>SUMPRODUCT(--('Expanded Contact Investigaton'!$G$13:$G$23=I140),'Expanded Contact Investigaton'!$K$13:$K$23)/8</f>
        <v>0</v>
      </c>
      <c r="M140" s="246">
        <f>SUMPRODUCT(--('Testing CHW LTCF Employees+Res'!$G$17:$G$22=I140),'Testing CHW LTCF Employees+Res'!$K$17:$K$22)/8</f>
        <v>0</v>
      </c>
      <c r="N140" s="246">
        <f>SUMPRODUCT(--('Testing Hospital Employees'!$G$17:$G$22=I140),'Testing Hospital Employees'!$K$17:$K$22)/8</f>
        <v>0</v>
      </c>
      <c r="O140" s="246">
        <f>SUMPRODUCT(--('Testing Essential Workers'!$G$17:$G$22=I140),'Testing Essential Workers'!$K$17:$K$22)/8</f>
        <v>0</v>
      </c>
      <c r="P140" s="246">
        <f>SUMPRODUCT(--('Testing Schoolchildren &amp; Staff'!$G$17:$G$24=I140),'Testing Schoolchildren &amp; Staff'!$K$17:$K$24)/8</f>
        <v>0</v>
      </c>
      <c r="Q140"/>
      <c r="R140"/>
      <c r="S140"/>
    </row>
    <row r="141" spans="2:19" ht="20.100000000000001" customHeight="1">
      <c r="B141" s="487"/>
      <c r="C141" s="125" t="s">
        <v>516</v>
      </c>
      <c r="D141" s="351">
        <f t="shared" si="26"/>
        <v>5</v>
      </c>
      <c r="E141" s="348">
        <v>2.5</v>
      </c>
      <c r="F141" s="347">
        <v>5</v>
      </c>
      <c r="G141" s="348">
        <v>7.5</v>
      </c>
      <c r="I141" s="217" t="s">
        <v>13</v>
      </c>
      <c r="J141" s="246">
        <f>SUMPRODUCT(--('Current Strategy'!$G$12:$G$15=I141),'Current Strategy'!$K$12:$K$15)/8</f>
        <v>0</v>
      </c>
      <c r="K141" s="246">
        <f t="shared" si="25"/>
        <v>0</v>
      </c>
      <c r="L141" s="246">
        <f>SUMPRODUCT(--('Expanded Contact Investigaton'!$G$13:$G$23=I141),'Expanded Contact Investigaton'!$K$13:$K$23)/8</f>
        <v>0</v>
      </c>
      <c r="M141" s="246">
        <f>SUMPRODUCT(--('Testing CHW LTCF Employees+Res'!$G$17:$G$22=I141),'Testing CHW LTCF Employees+Res'!$K$17:$K$22)/8</f>
        <v>0</v>
      </c>
      <c r="N141" s="246">
        <f>SUMPRODUCT(--('Testing Hospital Employees'!$G$17:$G$22=I141),'Testing Hospital Employees'!$K$17:$K$22)/8</f>
        <v>0</v>
      </c>
      <c r="O141" s="246">
        <f>SUMPRODUCT(--('Testing Essential Workers'!$G$17:$G$22=I141),'Testing Essential Workers'!$K$17:$K$22)/8</f>
        <v>0</v>
      </c>
      <c r="P141" s="246">
        <f>SUMPRODUCT(--('Testing Schoolchildren &amp; Staff'!$G$17:$G$24=I141),'Testing Schoolchildren &amp; Staff'!$K$17:$K$24)/8</f>
        <v>0</v>
      </c>
      <c r="Q141"/>
      <c r="R141"/>
      <c r="S141"/>
    </row>
    <row r="142" spans="2:19">
      <c r="B142" s="487"/>
      <c r="C142" s="125" t="s">
        <v>517</v>
      </c>
      <c r="D142" s="351">
        <f t="shared" si="26"/>
        <v>1</v>
      </c>
      <c r="E142" s="348">
        <v>0.5</v>
      </c>
      <c r="F142" s="347">
        <v>1</v>
      </c>
      <c r="G142" s="348">
        <v>1.5</v>
      </c>
      <c r="I142" s="217" t="s">
        <v>27</v>
      </c>
      <c r="J142" s="246">
        <f>SUMPRODUCT(--('Current Strategy'!$G$12:$G$15=I142),'Current Strategy'!$K$12:$K$15)/8</f>
        <v>0</v>
      </c>
      <c r="K142" s="246">
        <f t="shared" si="25"/>
        <v>0</v>
      </c>
      <c r="L142" s="246">
        <f>SUMPRODUCT(--('Expanded Contact Investigaton'!$G$13:$G$23=I142),'Expanded Contact Investigaton'!$K$13:$K$23)/8</f>
        <v>0</v>
      </c>
      <c r="M142" s="246">
        <f>SUMPRODUCT(--('Testing CHW LTCF Employees+Res'!$G$17:$G$22=I142),'Testing CHW LTCF Employees+Res'!$K$17:$K$22)/8</f>
        <v>0</v>
      </c>
      <c r="N142" s="246">
        <f>SUMPRODUCT(--('Testing Hospital Employees'!$G$17:$G$22=I142),'Testing Hospital Employees'!$K$17:$K$22)/8</f>
        <v>0</v>
      </c>
      <c r="O142" s="246">
        <f>SUMPRODUCT(--('Testing Essential Workers'!$G$17:$G$22=I142),'Testing Essential Workers'!$K$17:$K$22)/8</f>
        <v>0</v>
      </c>
      <c r="P142" s="246">
        <f>SUMPRODUCT(--('Testing Schoolchildren &amp; Staff'!$G$17:$G$24=I142),'Testing Schoolchildren &amp; Staff'!$K$17:$K$24)/8</f>
        <v>0</v>
      </c>
      <c r="Q142"/>
      <c r="R142"/>
      <c r="S142"/>
    </row>
    <row r="143" spans="2:19">
      <c r="B143" s="487"/>
      <c r="C143" s="125" t="s">
        <v>518</v>
      </c>
      <c r="D143" s="351">
        <f t="shared" si="26"/>
        <v>30</v>
      </c>
      <c r="E143" s="348">
        <v>15</v>
      </c>
      <c r="F143" s="347">
        <v>30</v>
      </c>
      <c r="G143" s="348">
        <v>45</v>
      </c>
      <c r="I143" s="217" t="s">
        <v>6</v>
      </c>
      <c r="J143" s="246">
        <f>SUMPRODUCT(--('Current Strategy'!$G$12:$G$15=I143),'Current Strategy'!$K$12:$K$15)/8</f>
        <v>0</v>
      </c>
      <c r="K143" s="246">
        <f t="shared" si="25"/>
        <v>0</v>
      </c>
      <c r="L143" s="246">
        <f>SUMPRODUCT(--('Expanded Contact Investigaton'!$G$13:$G$23=I143),'Expanded Contact Investigaton'!$K$13:$K$23)/8</f>
        <v>0</v>
      </c>
      <c r="M143" s="246">
        <f>SUMPRODUCT(--('Testing CHW LTCF Employees+Res'!$G$17:$G$22=I143),'Testing CHW LTCF Employees+Res'!$K$17:$K$22)/8</f>
        <v>0</v>
      </c>
      <c r="N143" s="246">
        <f>SUMPRODUCT(--('Testing Hospital Employees'!$G$17:$G$22=I143),'Testing Hospital Employees'!$K$17:$K$22)/8</f>
        <v>0</v>
      </c>
      <c r="O143" s="246">
        <f>SUMPRODUCT(--('Testing Essential Workers'!$G$17:$G$22=I143),'Testing Essential Workers'!$K$17:$K$22)/8</f>
        <v>0</v>
      </c>
      <c r="P143" s="246">
        <f>SUMPRODUCT(--('Testing Schoolchildren &amp; Staff'!$G$17:$G$24=I143),'Testing Schoolchildren &amp; Staff'!$K$17:$K$24)/8</f>
        <v>0</v>
      </c>
      <c r="Q143"/>
      <c r="R143"/>
      <c r="S143"/>
    </row>
    <row r="144" spans="2:19">
      <c r="B144" s="487"/>
      <c r="C144" s="125" t="s">
        <v>519</v>
      </c>
      <c r="D144" s="351">
        <f t="shared" si="26"/>
        <v>30</v>
      </c>
      <c r="E144" s="348">
        <v>15</v>
      </c>
      <c r="F144" s="347">
        <v>30</v>
      </c>
      <c r="G144" s="348">
        <v>45</v>
      </c>
      <c r="I144" s="217" t="s">
        <v>21</v>
      </c>
      <c r="J144" s="246">
        <f>SUMPRODUCT(--('Current Strategy'!$G$12:$G$15=I144),'Current Strategy'!$K$12:$K$15)/8</f>
        <v>0</v>
      </c>
      <c r="K144" s="246">
        <f t="shared" si="25"/>
        <v>0</v>
      </c>
      <c r="L144" s="246">
        <f>SUMPRODUCT(--('Expanded Contact Investigaton'!$G$13:$G$23=I144),'Expanded Contact Investigaton'!$K$13:$K$23)/8</f>
        <v>0</v>
      </c>
      <c r="M144" s="246">
        <f>SUMPRODUCT(--('Testing CHW LTCF Employees+Res'!$G$17:$G$22=I144),'Testing CHW LTCF Employees+Res'!$K$17:$K$22)/8</f>
        <v>0</v>
      </c>
      <c r="N144" s="246">
        <f>SUMPRODUCT(--('Testing Hospital Employees'!$G$17:$G$22=I144),'Testing Hospital Employees'!$K$17:$K$22)/8</f>
        <v>0</v>
      </c>
      <c r="O144" s="246">
        <f>SUMPRODUCT(--('Testing Essential Workers'!$G$17:$G$22=I144),'Testing Essential Workers'!$K$17:$K$22)/8</f>
        <v>0</v>
      </c>
      <c r="P144" s="246">
        <f>SUMPRODUCT(--('Testing Schoolchildren &amp; Staff'!$G$17:$G$24=I144),'Testing Schoolchildren &amp; Staff'!$K$17:$K$24)/8</f>
        <v>0</v>
      </c>
      <c r="Q144"/>
      <c r="R144"/>
      <c r="S144"/>
    </row>
    <row r="145" spans="2:19">
      <c r="B145" s="487"/>
      <c r="C145" s="125" t="s">
        <v>507</v>
      </c>
      <c r="D145" s="351">
        <f t="shared" si="26"/>
        <v>9.6</v>
      </c>
      <c r="E145" s="348">
        <v>4.8</v>
      </c>
      <c r="F145" s="347">
        <v>9.6</v>
      </c>
      <c r="G145" s="348">
        <v>14.399999999999999</v>
      </c>
      <c r="I145" s="221" t="s">
        <v>386</v>
      </c>
      <c r="J145" s="246">
        <f>SUMPRODUCT(--('Current Strategy'!$G$12:$G$15=I145),'Current Strategy'!$K$12:$K$15)/8</f>
        <v>0</v>
      </c>
      <c r="K145" s="246">
        <f t="shared" si="25"/>
        <v>0</v>
      </c>
      <c r="L145" s="246">
        <f>SUMPRODUCT(--('Expanded Contact Investigaton'!$G$13:$G$23=I145),'Expanded Contact Investigaton'!$K$13:$K$23)/8</f>
        <v>0</v>
      </c>
      <c r="M145" s="246">
        <f>SUMPRODUCT(--('Testing CHW LTCF Employees+Res'!$G$17:$G$22=I145),'Testing CHW LTCF Employees+Res'!$K$17:$K$22)/8</f>
        <v>0</v>
      </c>
      <c r="N145" s="246">
        <f>SUMPRODUCT(--('Testing Hospital Employees'!$G$17:$G$22=I145),'Testing Hospital Employees'!$K$17:$K$22)/8</f>
        <v>0</v>
      </c>
      <c r="O145" s="246">
        <f>SUMPRODUCT(--('Testing Essential Workers'!$G$17:$G$22=I145),'Testing Essential Workers'!$K$17:$K$22)/8</f>
        <v>0</v>
      </c>
      <c r="P145" s="246">
        <f>SUMPRODUCT(--('Testing Schoolchildren &amp; Staff'!$G$17:$G$24=I145),'Testing Schoolchildren &amp; Staff'!$K$17:$K$24)/8</f>
        <v>0</v>
      </c>
      <c r="Q145"/>
      <c r="R145"/>
      <c r="S145"/>
    </row>
    <row r="146" spans="2:19">
      <c r="B146" s="487"/>
      <c r="C146" s="125" t="s">
        <v>508</v>
      </c>
      <c r="D146" s="351">
        <f t="shared" si="26"/>
        <v>2.88</v>
      </c>
      <c r="E146" s="348">
        <v>1.44</v>
      </c>
      <c r="F146" s="347">
        <v>2.88</v>
      </c>
      <c r="G146" s="348">
        <v>4.32</v>
      </c>
      <c r="I146" s="217" t="s">
        <v>325</v>
      </c>
      <c r="J146" s="246">
        <f>SUMPRODUCT(--('Current Strategy'!$G$12:$G$15=I146),'Current Strategy'!$K$12:$K$15)/8</f>
        <v>0</v>
      </c>
      <c r="K146" s="246">
        <f t="shared" si="25"/>
        <v>0</v>
      </c>
      <c r="L146" s="246">
        <f>SUMPRODUCT(--('Expanded Contact Investigaton'!$G$13:$G$23=I146),'Expanded Contact Investigaton'!$K$13:$K$23)/8</f>
        <v>0</v>
      </c>
      <c r="M146" s="246">
        <f>SUMPRODUCT(--('Testing CHW LTCF Employees+Res'!$G$17:$G$22=I146),'Testing CHW LTCF Employees+Res'!$K$17:$K$22)/8</f>
        <v>0</v>
      </c>
      <c r="N146" s="246">
        <f>SUMPRODUCT(--('Testing Hospital Employees'!$G$17:$G$22=I146),'Testing Hospital Employees'!$K$17:$K$22)/8</f>
        <v>0</v>
      </c>
      <c r="O146" s="246">
        <f>SUMPRODUCT(--('Testing Essential Workers'!$G$17:$G$22=I146),'Testing Essential Workers'!$K$17:$K$22)/8</f>
        <v>0</v>
      </c>
      <c r="P146" s="246">
        <f>SUMPRODUCT(--('Testing Schoolchildren &amp; Staff'!$G$17:$G$24=I146),'Testing Schoolchildren &amp; Staff'!$K$17:$K$24)/8</f>
        <v>0</v>
      </c>
      <c r="Q146"/>
      <c r="R146"/>
      <c r="S146"/>
    </row>
    <row r="147" spans="2:19">
      <c r="B147" s="487"/>
      <c r="C147" s="125" t="s">
        <v>522</v>
      </c>
      <c r="D147" s="351">
        <f t="shared" si="26"/>
        <v>7.5</v>
      </c>
      <c r="E147" s="348">
        <v>3.75</v>
      </c>
      <c r="F147" s="347">
        <v>7.5</v>
      </c>
      <c r="G147" s="348">
        <v>11.25</v>
      </c>
      <c r="I147" s="217" t="s">
        <v>31</v>
      </c>
      <c r="J147" s="246">
        <f>SUMPRODUCT(--('Current Strategy'!$G$12:$G$15=I147),'Current Strategy'!$K$12:$K$15)/8</f>
        <v>0</v>
      </c>
      <c r="K147" s="246">
        <f t="shared" si="25"/>
        <v>0</v>
      </c>
      <c r="L147" s="246">
        <f>SUMPRODUCT(--('Expanded Contact Investigaton'!$G$13:$G$23=I147),'Expanded Contact Investigaton'!$K$13:$K$23)/8</f>
        <v>0</v>
      </c>
      <c r="M147" s="246">
        <f>SUMPRODUCT(--('Testing CHW LTCF Employees+Res'!$G$17:$G$22=I147),'Testing CHW LTCF Employees+Res'!$K$17:$K$22)/8</f>
        <v>0</v>
      </c>
      <c r="N147" s="246">
        <f>SUMPRODUCT(--('Testing Hospital Employees'!$G$17:$G$22=I147),'Testing Hospital Employees'!$K$17:$K$22)/8</f>
        <v>0</v>
      </c>
      <c r="O147" s="246">
        <f>SUMPRODUCT(--('Testing Essential Workers'!$G$17:$G$22=I147),'Testing Essential Workers'!$K$17:$K$22)/8</f>
        <v>0</v>
      </c>
      <c r="P147" s="246">
        <f>SUMPRODUCT(--('Testing Schoolchildren &amp; Staff'!$G$17:$G$24=I147),'Testing Schoolchildren &amp; Staff'!$K$17:$K$24)/8</f>
        <v>0</v>
      </c>
      <c r="Q147"/>
      <c r="R147"/>
      <c r="S147"/>
    </row>
    <row r="148" spans="2:19">
      <c r="B148" s="487"/>
      <c r="C148" s="125" t="s">
        <v>523</v>
      </c>
      <c r="D148" s="351">
        <f t="shared" si="26"/>
        <v>6</v>
      </c>
      <c r="E148" s="348">
        <v>3</v>
      </c>
      <c r="F148" s="347">
        <v>6</v>
      </c>
      <c r="G148" s="348">
        <v>9</v>
      </c>
      <c r="I148" s="217" t="s">
        <v>40</v>
      </c>
      <c r="J148" s="246">
        <f>SUMPRODUCT(--('Current Strategy'!$G$12:$G$15=I148),'Current Strategy'!$K$12:$K$15)/8</f>
        <v>0</v>
      </c>
      <c r="K148" s="246">
        <f t="shared" si="25"/>
        <v>0.11423999999999998</v>
      </c>
      <c r="L148" s="246">
        <f>SUMPRODUCT(--('Expanded Contact Investigaton'!$G$13:$G$23=I148),'Expanded Contact Investigaton'!$K$13:$K$23)/8</f>
        <v>0.11423999999999998</v>
      </c>
      <c r="M148" s="246">
        <f>SUMPRODUCT(--('Testing CHW LTCF Employees+Res'!$G$17:$G$22=I148),'Testing CHW LTCF Employees+Res'!$K$17:$K$22)/8</f>
        <v>0</v>
      </c>
      <c r="N148" s="246">
        <f>SUMPRODUCT(--('Testing Hospital Employees'!$G$17:$G$22=I148),'Testing Hospital Employees'!$K$17:$K$22)/8</f>
        <v>0</v>
      </c>
      <c r="O148" s="246">
        <f>SUMPRODUCT(--('Testing Essential Workers'!$G$17:$G$22=I148),'Testing Essential Workers'!$K$17:$K$22)/8</f>
        <v>0</v>
      </c>
      <c r="P148" s="246">
        <f>SUMPRODUCT(--('Testing Schoolchildren &amp; Staff'!$G$17:$G$24=I148),'Testing Schoolchildren &amp; Staff'!$K$17:$K$24)/8</f>
        <v>0</v>
      </c>
      <c r="Q148"/>
      <c r="R148"/>
      <c r="S148"/>
    </row>
    <row r="149" spans="2:19">
      <c r="B149" s="487"/>
      <c r="C149" s="125" t="s">
        <v>509</v>
      </c>
      <c r="D149" s="351">
        <f t="shared" si="26"/>
        <v>36</v>
      </c>
      <c r="E149" s="348">
        <v>18</v>
      </c>
      <c r="F149" s="347">
        <v>36</v>
      </c>
      <c r="G149" s="348">
        <v>54</v>
      </c>
      <c r="I149" s="217" t="s">
        <v>449</v>
      </c>
      <c r="J149" s="246">
        <f>SUMPRODUCT(--('Current Strategy'!$G$12:$G$15=I149),'Current Strategy'!$K$12:$K$15)/8</f>
        <v>0</v>
      </c>
      <c r="K149" s="246">
        <f t="shared" si="25"/>
        <v>0</v>
      </c>
      <c r="L149" s="246">
        <f>SUMPRODUCT(--('Expanded Contact Investigaton'!$G$13:$G$23=I149),'Expanded Contact Investigaton'!$K$13:$K$23)/8</f>
        <v>0</v>
      </c>
      <c r="M149" s="246">
        <f>SUMPRODUCT(--('Testing CHW LTCF Employees+Res'!$G$17:$G$22=I149),'Testing CHW LTCF Employees+Res'!$K$17:$K$22)/8</f>
        <v>0</v>
      </c>
      <c r="N149" s="246">
        <f>SUMPRODUCT(--('Testing Hospital Employees'!$G$17:$G$22=I149),'Testing Hospital Employees'!$K$17:$K$22)/8</f>
        <v>0</v>
      </c>
      <c r="O149" s="246">
        <f>SUMPRODUCT(--('Testing Essential Workers'!$G$17:$G$22=I149),'Testing Essential Workers'!$K$17:$K$22)/8</f>
        <v>0</v>
      </c>
      <c r="P149" s="246">
        <f>SUMPRODUCT(--('Testing Schoolchildren &amp; Staff'!$G$17:$G$24=I149),'Testing Schoolchildren &amp; Staff'!$K$17:$K$24)/8</f>
        <v>0</v>
      </c>
      <c r="Q149"/>
      <c r="R149"/>
      <c r="S149"/>
    </row>
    <row r="150" spans="2:19" ht="20.100000000000001" customHeight="1">
      <c r="B150" s="487"/>
      <c r="C150" s="125" t="s">
        <v>528</v>
      </c>
      <c r="D150" s="351">
        <f t="shared" si="26"/>
        <v>4</v>
      </c>
      <c r="E150" s="348">
        <v>3</v>
      </c>
      <c r="F150" s="348">
        <v>4</v>
      </c>
      <c r="G150" s="348">
        <v>5</v>
      </c>
      <c r="I150" s="217" t="s">
        <v>323</v>
      </c>
      <c r="J150" s="246">
        <f>SUMPRODUCT(--('Current Strategy'!$G$12:$G$15=I150),'Current Strategy'!$K$12:$K$15)/8</f>
        <v>0</v>
      </c>
      <c r="K150" s="246">
        <f t="shared" si="25"/>
        <v>0</v>
      </c>
      <c r="L150" s="246">
        <f>SUMPRODUCT(--('Expanded Contact Investigaton'!$G$13:$G$23=I150),'Expanded Contact Investigaton'!$K$13:$K$23)/8</f>
        <v>0</v>
      </c>
      <c r="M150" s="246">
        <f>SUMPRODUCT(--('Testing CHW LTCF Employees+Res'!$G$17:$G$22=I150),'Testing CHW LTCF Employees+Res'!$K$17:$K$22)/8</f>
        <v>0</v>
      </c>
      <c r="N150" s="246">
        <f>SUMPRODUCT(--('Testing Hospital Employees'!$G$17:$G$22=I150),'Testing Hospital Employees'!$K$17:$K$22)/8</f>
        <v>0</v>
      </c>
      <c r="O150" s="246">
        <f>SUMPRODUCT(--('Testing Essential Workers'!$G$17:$G$22=I150),'Testing Essential Workers'!$K$17:$K$22)/8</f>
        <v>0</v>
      </c>
      <c r="P150" s="246">
        <f>SUMPRODUCT(--('Testing Schoolchildren &amp; Staff'!$G$17:$G$24=I150),'Testing Schoolchildren &amp; Staff'!$K$17:$K$24)/8</f>
        <v>0</v>
      </c>
      <c r="Q150"/>
      <c r="R150"/>
      <c r="S150"/>
    </row>
    <row r="151" spans="2:19">
      <c r="B151" s="487"/>
      <c r="C151" s="125" t="s">
        <v>510</v>
      </c>
      <c r="D151" s="351">
        <f t="shared" si="26"/>
        <v>3</v>
      </c>
      <c r="E151" s="348">
        <v>1.5</v>
      </c>
      <c r="F151" s="347">
        <v>3</v>
      </c>
      <c r="G151" s="348">
        <v>4.5</v>
      </c>
      <c r="I151" s="217" t="s">
        <v>354</v>
      </c>
      <c r="J151" s="246">
        <f>SUMPRODUCT(--('Current Strategy'!$G$12:$G$15=I151),'Current Strategy'!$K$12:$K$15)/8</f>
        <v>0</v>
      </c>
      <c r="K151" s="246">
        <f t="shared" si="25"/>
        <v>0</v>
      </c>
      <c r="L151" s="246">
        <f>SUMPRODUCT(--('Expanded Contact Investigaton'!$G$13:$G$23=I151),'Expanded Contact Investigaton'!$K$13:$K$23)/8</f>
        <v>0</v>
      </c>
      <c r="M151" s="246">
        <f>SUMPRODUCT(--('Testing CHW LTCF Employees+Res'!$G$17:$G$22=I151),'Testing CHW LTCF Employees+Res'!$K$17:$K$22)/8</f>
        <v>0</v>
      </c>
      <c r="N151" s="246">
        <f>SUMPRODUCT(--('Testing Hospital Employees'!$G$17:$G$22=I151),'Testing Hospital Employees'!$K$17:$K$22)/8</f>
        <v>0</v>
      </c>
      <c r="O151" s="246">
        <f>SUMPRODUCT(--('Testing Essential Workers'!$G$17:$G$22=I151),'Testing Essential Workers'!$K$17:$K$22)/8</f>
        <v>0</v>
      </c>
      <c r="P151" s="246">
        <f>SUMPRODUCT(--('Testing Schoolchildren &amp; Staff'!$G$17:$G$24=I151),'Testing Schoolchildren &amp; Staff'!$K$17:$K$24)/8</f>
        <v>0</v>
      </c>
      <c r="Q151"/>
      <c r="R151"/>
      <c r="S151"/>
    </row>
    <row r="152" spans="2:19">
      <c r="B152" s="487"/>
      <c r="C152" s="125" t="s">
        <v>511</v>
      </c>
      <c r="D152" s="351">
        <f t="shared" si="26"/>
        <v>1.2765957446808511</v>
      </c>
      <c r="E152" s="348">
        <v>0.63829787234042556</v>
      </c>
      <c r="F152" s="347">
        <f>60/47</f>
        <v>1.2765957446808511</v>
      </c>
      <c r="G152" s="348">
        <v>1.9148936170212767</v>
      </c>
      <c r="I152" s="217" t="s">
        <v>32</v>
      </c>
      <c r="J152" s="246">
        <f>SUMPRODUCT(--('Current Strategy'!$G$12:$G$15=I152),'Current Strategy'!$K$12:$K$15)/8</f>
        <v>0</v>
      </c>
      <c r="K152" s="246">
        <f t="shared" si="25"/>
        <v>0</v>
      </c>
      <c r="L152" s="246">
        <f>SUMPRODUCT(--('Expanded Contact Investigaton'!$G$13:$G$23=I152),'Expanded Contact Investigaton'!$K$13:$K$23)/8</f>
        <v>0</v>
      </c>
      <c r="M152" s="246">
        <f>SUMPRODUCT(--('Testing CHW LTCF Employees+Res'!$G$17:$G$22=I152),'Testing CHW LTCF Employees+Res'!$K$17:$K$22)/8</f>
        <v>0</v>
      </c>
      <c r="N152" s="246">
        <f>SUMPRODUCT(--('Testing Hospital Employees'!$G$17:$G$22=I152),'Testing Hospital Employees'!$K$17:$K$22)/8</f>
        <v>0</v>
      </c>
      <c r="O152" s="246">
        <f>SUMPRODUCT(--('Testing Essential Workers'!$G$17:$G$22=I152),'Testing Essential Workers'!$K$17:$K$22)/8</f>
        <v>0</v>
      </c>
      <c r="P152" s="246">
        <f>SUMPRODUCT(--('Testing Schoolchildren &amp; Staff'!$G$17:$G$24=I152),'Testing Schoolchildren &amp; Staff'!$K$17:$K$24)/8</f>
        <v>0</v>
      </c>
      <c r="Q152"/>
      <c r="R152"/>
      <c r="S152"/>
    </row>
    <row r="153" spans="2:19">
      <c r="B153" s="487"/>
      <c r="C153" s="125" t="s">
        <v>529</v>
      </c>
      <c r="D153" s="351">
        <f t="shared" si="26"/>
        <v>5</v>
      </c>
      <c r="E153" s="348">
        <v>2.5</v>
      </c>
      <c r="F153" s="348">
        <v>5</v>
      </c>
      <c r="G153" s="348">
        <v>7.5</v>
      </c>
      <c r="I153" s="217" t="s">
        <v>33</v>
      </c>
      <c r="J153" s="246">
        <f>SUMPRODUCT(--('Current Strategy'!$G$12:$G$15=I153),'Current Strategy'!$K$12:$K$15)/8</f>
        <v>0</v>
      </c>
      <c r="K153" s="246">
        <f t="shared" si="25"/>
        <v>0</v>
      </c>
      <c r="L153" s="246">
        <f>SUMPRODUCT(--('Expanded Contact Investigaton'!$G$13:$G$23=I153),'Expanded Contact Investigaton'!$K$13:$K$23)/8</f>
        <v>0</v>
      </c>
      <c r="M153" s="246">
        <f>SUMPRODUCT(--('Testing CHW LTCF Employees+Res'!$G$17:$G$22=I153),'Testing CHW LTCF Employees+Res'!$K$17:$K$22)/8</f>
        <v>0</v>
      </c>
      <c r="N153" s="246">
        <f>SUMPRODUCT(--('Testing Hospital Employees'!$G$17:$G$22=I153),'Testing Hospital Employees'!$K$17:$K$22)/8</f>
        <v>0</v>
      </c>
      <c r="O153" s="246">
        <f>SUMPRODUCT(--('Testing Essential Workers'!$G$17:$G$22=I153),'Testing Essential Workers'!$K$17:$K$22)/8</f>
        <v>0</v>
      </c>
      <c r="P153" s="246">
        <f>SUMPRODUCT(--('Testing Schoolchildren &amp; Staff'!$G$17:$G$24=I153),'Testing Schoolchildren &amp; Staff'!$K$17:$K$24)/8</f>
        <v>0</v>
      </c>
      <c r="Q153"/>
      <c r="R153"/>
      <c r="S153"/>
    </row>
    <row r="154" spans="2:19">
      <c r="B154" s="487"/>
      <c r="C154" s="125" t="s">
        <v>530</v>
      </c>
      <c r="D154" s="351">
        <f t="shared" si="26"/>
        <v>2</v>
      </c>
      <c r="E154" s="348">
        <v>1</v>
      </c>
      <c r="F154" s="348">
        <v>2</v>
      </c>
      <c r="G154" s="348">
        <v>3</v>
      </c>
      <c r="I154" s="217" t="s">
        <v>34</v>
      </c>
      <c r="J154" s="246">
        <f>SUMPRODUCT(--('Current Strategy'!$G$12:$G$15=I154),'Current Strategy'!$K$12:$K$15)/8</f>
        <v>0</v>
      </c>
      <c r="K154" s="246">
        <f t="shared" si="25"/>
        <v>0</v>
      </c>
      <c r="L154" s="246">
        <f>SUMPRODUCT(--('Expanded Contact Investigaton'!$G$13:$G$23=I154),'Expanded Contact Investigaton'!$K$13:$K$23)/8</f>
        <v>0</v>
      </c>
      <c r="M154" s="246">
        <f>SUMPRODUCT(--('Testing CHW LTCF Employees+Res'!$G$17:$G$22=I154),'Testing CHW LTCF Employees+Res'!$K$17:$K$22)/8</f>
        <v>0</v>
      </c>
      <c r="N154" s="246">
        <f>SUMPRODUCT(--('Testing Hospital Employees'!$G$17:$G$22=I154),'Testing Hospital Employees'!$K$17:$K$22)/8</f>
        <v>0</v>
      </c>
      <c r="O154" s="246">
        <f>SUMPRODUCT(--('Testing Essential Workers'!$G$17:$G$22=I154),'Testing Essential Workers'!$K$17:$K$22)/8</f>
        <v>0</v>
      </c>
      <c r="P154" s="246">
        <f>SUMPRODUCT(--('Testing Schoolchildren &amp; Staff'!$G$17:$G$24=I154),'Testing Schoolchildren &amp; Staff'!$K$17:$K$24)/8</f>
        <v>0</v>
      </c>
      <c r="Q154"/>
      <c r="R154"/>
      <c r="S154"/>
    </row>
    <row r="155" spans="2:19">
      <c r="B155" s="487"/>
      <c r="C155" s="125" t="s">
        <v>512</v>
      </c>
      <c r="D155" s="351">
        <f t="shared" si="26"/>
        <v>1</v>
      </c>
      <c r="E155" s="348">
        <v>0.5</v>
      </c>
      <c r="F155" s="347">
        <v>1</v>
      </c>
      <c r="G155" s="348">
        <v>1.5</v>
      </c>
      <c r="I155" s="217" t="s">
        <v>450</v>
      </c>
      <c r="J155" s="246">
        <f>SUMPRODUCT(--('Current Strategy'!$G$12:$G$15=I155),'Current Strategy'!$K$12:$K$15)/8</f>
        <v>0</v>
      </c>
      <c r="K155" s="246">
        <f t="shared" si="25"/>
        <v>0.57119999999999993</v>
      </c>
      <c r="L155" s="246">
        <f>SUMPRODUCT(--('Expanded Contact Investigaton'!$G$13:$G$23=I155),'Expanded Contact Investigaton'!$K$13:$K$23)/8</f>
        <v>0.57119999999999993</v>
      </c>
      <c r="M155" s="246">
        <f>SUMPRODUCT(--('Testing CHW LTCF Employees+Res'!$G$17:$G$22=I155),'Testing CHW LTCF Employees+Res'!$K$17:$K$22)/8</f>
        <v>0</v>
      </c>
      <c r="N155" s="246">
        <f>SUMPRODUCT(--('Testing Hospital Employees'!$G$17:$G$22=I155),'Testing Hospital Employees'!$K$17:$K$22)/8</f>
        <v>0</v>
      </c>
      <c r="O155" s="246">
        <f>SUMPRODUCT(--('Testing Essential Workers'!$G$17:$G$22=I155),'Testing Essential Workers'!$K$17:$K$22)/8</f>
        <v>0</v>
      </c>
      <c r="P155" s="246">
        <f>SUMPRODUCT(--('Testing Schoolchildren &amp; Staff'!$G$17:$G$24=I155),'Testing Schoolchildren &amp; Staff'!$K$17:$K$24)/8</f>
        <v>0</v>
      </c>
      <c r="Q155"/>
      <c r="R155"/>
      <c r="S155"/>
    </row>
    <row r="156" spans="2:19">
      <c r="B156" s="487"/>
      <c r="C156" s="125" t="s">
        <v>521</v>
      </c>
      <c r="D156" s="351">
        <f t="shared" si="26"/>
        <v>10</v>
      </c>
      <c r="E156" s="348">
        <v>5</v>
      </c>
      <c r="F156" s="347">
        <v>10</v>
      </c>
      <c r="G156" s="348">
        <v>15</v>
      </c>
      <c r="I156" s="217" t="s">
        <v>180</v>
      </c>
      <c r="J156" s="246">
        <f>SUMPRODUCT(--('Current Strategy'!$G$12:$G$15=I156),'Current Strategy'!$K$12:$K$15)/8</f>
        <v>0</v>
      </c>
      <c r="K156" s="246">
        <f t="shared" si="25"/>
        <v>0.11423999999999998</v>
      </c>
      <c r="L156" s="246">
        <f>SUMPRODUCT(--('Expanded Contact Investigaton'!$G$13:$G$23=I156),'Expanded Contact Investigaton'!$K$13:$K$23)/8</f>
        <v>0.11423999999999998</v>
      </c>
      <c r="M156" s="246">
        <f>SUMPRODUCT(--('Testing CHW LTCF Employees+Res'!$G$17:$G$22=I156),'Testing CHW LTCF Employees+Res'!$K$17:$K$22)/8</f>
        <v>8.6500655307994764E-2</v>
      </c>
      <c r="N156" s="246">
        <f>SUMPRODUCT(--('Testing Hospital Employees'!$G$17:$G$22=I156),'Testing Hospital Employees'!$K$17:$K$22)/8</f>
        <v>3.9308602232277126E-2</v>
      </c>
      <c r="O156" s="246">
        <f>SUMPRODUCT(--('Testing Essential Workers'!$G$17:$G$22=I156),'Testing Essential Workers'!$K$17:$K$22)/8</f>
        <v>0.19497060516978962</v>
      </c>
      <c r="P156" s="246">
        <f>SUMPRODUCT(--('Testing Schoolchildren &amp; Staff'!$G$17:$G$24=I156),'Testing Schoolchildren &amp; Staff'!$K$17:$K$24)/8</f>
        <v>4.5347315876682129E-2</v>
      </c>
      <c r="Q156"/>
      <c r="R156"/>
      <c r="S156"/>
    </row>
    <row r="157" spans="2:19" ht="20.100000000000001" customHeight="1">
      <c r="B157" s="487"/>
      <c r="C157" s="125" t="s">
        <v>520</v>
      </c>
      <c r="D157" s="351">
        <f t="shared" si="26"/>
        <v>20</v>
      </c>
      <c r="E157" s="348">
        <v>10</v>
      </c>
      <c r="F157" s="347">
        <v>20</v>
      </c>
      <c r="G157" s="348">
        <v>30</v>
      </c>
      <c r="I157" s="217" t="s">
        <v>353</v>
      </c>
      <c r="J157" s="246">
        <f>SUMPRODUCT(--('Current Strategy'!$G$12:$G$15=I157),'Current Strategy'!$K$12:$K$15)/8</f>
        <v>0</v>
      </c>
      <c r="K157" s="246">
        <f t="shared" si="25"/>
        <v>0.34270753790771241</v>
      </c>
      <c r="L157" s="246">
        <f>SUMPRODUCT(--('Expanded Contact Investigaton'!$G$13:$G$23=I157),'Expanded Contact Investigaton'!$K$13:$K$23)/8</f>
        <v>0.34270753790771241</v>
      </c>
      <c r="M157" s="246">
        <f>SUMPRODUCT(--('Testing CHW LTCF Employees+Res'!$G$17:$G$22=I157),'Testing CHW LTCF Employees+Res'!$K$17:$K$22)/8</f>
        <v>0</v>
      </c>
      <c r="N157" s="246">
        <f>SUMPRODUCT(--('Testing Hospital Employees'!$G$17:$G$22=I157),'Testing Hospital Employees'!$K$17:$K$22)/8</f>
        <v>0</v>
      </c>
      <c r="O157" s="246">
        <f>SUMPRODUCT(--('Testing Essential Workers'!$G$17:$G$22=I157),'Testing Essential Workers'!$K$17:$K$22)/8</f>
        <v>0</v>
      </c>
      <c r="P157" s="246">
        <f>SUMPRODUCT(--('Testing Schoolchildren &amp; Staff'!$G$17:$G$24=I157),'Testing Schoolchildren &amp; Staff'!$K$17:$K$24)/8</f>
        <v>0</v>
      </c>
      <c r="Q157"/>
      <c r="R157"/>
      <c r="S157"/>
    </row>
    <row r="158" spans="2:19" ht="16.5" thickBot="1">
      <c r="B158" s="487"/>
      <c r="C158" s="125" t="s">
        <v>513</v>
      </c>
      <c r="D158" s="351">
        <f t="shared" si="26"/>
        <v>60</v>
      </c>
      <c r="E158" s="348">
        <v>30</v>
      </c>
      <c r="F158" s="347">
        <v>60</v>
      </c>
      <c r="G158" s="348">
        <v>90</v>
      </c>
      <c r="I158" s="224" t="s">
        <v>230</v>
      </c>
      <c r="J158" s="247">
        <f>SUMPRODUCT(--('Current Strategy'!$G$12:$G$15=I158),'Current Strategy'!$K$12:$K$15)/8</f>
        <v>0</v>
      </c>
      <c r="K158" s="247">
        <f t="shared" si="25"/>
        <v>0</v>
      </c>
      <c r="L158" s="247">
        <f>SUMPRODUCT(--('Expanded Contact Investigaton'!$G$13:$G$23=I158),'Expanded Contact Investigaton'!$K$13:$K$23)/8</f>
        <v>0</v>
      </c>
      <c r="M158" s="247">
        <f>SUMPRODUCT(--('Testing CHW LTCF Employees+Res'!$G$17:$G$22=I158),'Testing CHW LTCF Employees+Res'!$K$17:$K$22)/8</f>
        <v>0</v>
      </c>
      <c r="N158" s="247">
        <f>SUMPRODUCT(--('Testing Hospital Employees'!$G$17:$G$22=I158),'Testing Hospital Employees'!$K$17:$K$22)/8</f>
        <v>0</v>
      </c>
      <c r="O158" s="247">
        <f>SUMPRODUCT(--('Testing Essential Workers'!$G$17:$G$22=I158),'Testing Essential Workers'!$K$17:$K$22)/8</f>
        <v>0</v>
      </c>
      <c r="P158" s="247">
        <f>SUMPRODUCT(--('Testing Schoolchildren &amp; Staff'!$G$17:$G$24=I158),'Testing Schoolchildren &amp; Staff'!$K$17:$K$24)/8</f>
        <v>0</v>
      </c>
      <c r="Q158"/>
      <c r="R158"/>
      <c r="S158"/>
    </row>
    <row r="159" spans="2:19" ht="16.5" thickBot="1">
      <c r="B159" s="488"/>
      <c r="C159" s="184" t="s">
        <v>514</v>
      </c>
      <c r="D159" s="352">
        <f t="shared" si="26"/>
        <v>34.271999999999998</v>
      </c>
      <c r="E159" s="356">
        <v>17.135999999999999</v>
      </c>
      <c r="F159" s="353">
        <f>7.14*480/100</f>
        <v>34.271999999999998</v>
      </c>
      <c r="G159" s="356">
        <v>51.408000000000001</v>
      </c>
      <c r="P159"/>
      <c r="Q159"/>
      <c r="R159"/>
      <c r="S159"/>
    </row>
    <row r="160" spans="2:19" ht="20.100000000000001" customHeight="1" thickBot="1">
      <c r="D160" s="363"/>
      <c r="I160" s="456" t="s">
        <v>482</v>
      </c>
      <c r="J160" s="457"/>
      <c r="K160" s="457"/>
      <c r="L160" s="457"/>
      <c r="M160" s="457"/>
      <c r="N160" s="457"/>
      <c r="O160" s="457"/>
      <c r="P160" s="458"/>
      <c r="Q160"/>
      <c r="R160"/>
      <c r="S160"/>
    </row>
    <row r="161" spans="9:19" ht="16.5" thickBot="1">
      <c r="P161"/>
      <c r="Q161"/>
      <c r="R161"/>
      <c r="S161"/>
    </row>
    <row r="162" spans="9:19" ht="63.75" thickBot="1">
      <c r="I162" s="100" t="s">
        <v>472</v>
      </c>
      <c r="J162" s="433" t="s">
        <v>217</v>
      </c>
      <c r="K162" s="433" t="s">
        <v>591</v>
      </c>
      <c r="L162" s="433" t="s">
        <v>218</v>
      </c>
      <c r="M162" s="449" t="s">
        <v>282</v>
      </c>
      <c r="N162" s="449" t="s">
        <v>265</v>
      </c>
      <c r="O162" s="449" t="s">
        <v>219</v>
      </c>
      <c r="P162" s="450" t="s">
        <v>596</v>
      </c>
      <c r="Q162"/>
      <c r="R162"/>
      <c r="S162"/>
    </row>
    <row r="163" spans="9:19">
      <c r="I163" t="s">
        <v>469</v>
      </c>
      <c r="J163" s="250">
        <f t="shared" ref="J163:P163" si="27">SUM(J139,J141,J143,J145,J150,J151,J155,J156,J149,J148)</f>
        <v>0.78333333333333333</v>
      </c>
      <c r="K163" s="250">
        <f t="shared" si="27"/>
        <v>2.0592038095238094</v>
      </c>
      <c r="L163" s="250">
        <f t="shared" si="27"/>
        <v>1.2758704761904758</v>
      </c>
      <c r="M163" s="258">
        <f t="shared" si="27"/>
        <v>0.17300131061598953</v>
      </c>
      <c r="N163" s="258">
        <f t="shared" si="27"/>
        <v>7.8617204464554252E-2</v>
      </c>
      <c r="O163" s="258">
        <f t="shared" si="27"/>
        <v>0.38994121033957924</v>
      </c>
      <c r="P163" s="250">
        <f t="shared" si="27"/>
        <v>9.0694631753364258E-2</v>
      </c>
      <c r="Q163"/>
      <c r="R163"/>
      <c r="S163"/>
    </row>
    <row r="164" spans="9:19">
      <c r="I164" t="s">
        <v>470</v>
      </c>
      <c r="J164" s="250">
        <f t="shared" ref="J164:P164" si="28">SUM(J138,J157,J158)</f>
        <v>3.9166666666666665</v>
      </c>
      <c r="K164" s="250">
        <f t="shared" si="28"/>
        <v>10.123617061717235</v>
      </c>
      <c r="L164" s="250">
        <f t="shared" si="28"/>
        <v>6.2069503950505691</v>
      </c>
      <c r="M164" s="258">
        <f t="shared" si="28"/>
        <v>0.41109654867313239</v>
      </c>
      <c r="N164" s="258">
        <f t="shared" si="28"/>
        <v>0.31671244252169711</v>
      </c>
      <c r="O164" s="258">
        <f t="shared" si="28"/>
        <v>0.62803644843481732</v>
      </c>
      <c r="P164" s="250">
        <f t="shared" si="28"/>
        <v>0.32878986981050712</v>
      </c>
      <c r="Q164"/>
      <c r="R164"/>
      <c r="S164"/>
    </row>
    <row r="165" spans="9:19" ht="16.5" thickBot="1">
      <c r="I165" s="241" t="s">
        <v>471</v>
      </c>
      <c r="J165" s="251">
        <f t="shared" ref="J165:P165" si="29">SUM(J142,J147,J152,J153,J154)</f>
        <v>0</v>
      </c>
      <c r="K165" s="251">
        <f t="shared" si="29"/>
        <v>0</v>
      </c>
      <c r="L165" s="251">
        <f t="shared" si="29"/>
        <v>0</v>
      </c>
      <c r="M165" s="259">
        <f t="shared" si="29"/>
        <v>0</v>
      </c>
      <c r="N165" s="259">
        <f t="shared" si="29"/>
        <v>0</v>
      </c>
      <c r="O165" s="259">
        <f t="shared" si="29"/>
        <v>0</v>
      </c>
      <c r="P165" s="251">
        <f t="shared" si="29"/>
        <v>0</v>
      </c>
      <c r="Q165"/>
      <c r="R165"/>
      <c r="S165"/>
    </row>
    <row r="166" spans="9:19" ht="20.100000000000001" customHeight="1" thickBot="1">
      <c r="I166" s="217"/>
      <c r="P166"/>
      <c r="Q166"/>
      <c r="R166"/>
      <c r="S166"/>
    </row>
    <row r="167" spans="9:19" ht="20.100000000000001" customHeight="1" thickBot="1">
      <c r="I167" s="459" t="s">
        <v>483</v>
      </c>
      <c r="J167" s="460"/>
      <c r="K167" s="460"/>
      <c r="L167" s="460"/>
      <c r="M167" s="460"/>
      <c r="N167" s="460"/>
      <c r="O167" s="460"/>
      <c r="P167" s="461"/>
      <c r="Q167"/>
      <c r="R167"/>
      <c r="S167"/>
    </row>
    <row r="168" spans="9:19" ht="16.5" thickBot="1">
      <c r="I168" s="130"/>
      <c r="J168" s="151"/>
      <c r="K168" s="151"/>
      <c r="L168" s="151"/>
      <c r="M168" s="151"/>
      <c r="N168" s="151"/>
      <c r="O168" s="151"/>
      <c r="P168" s="151"/>
      <c r="Q168"/>
      <c r="R168"/>
      <c r="S168"/>
    </row>
    <row r="169" spans="9:19" ht="63.75" thickBot="1">
      <c r="I169" s="100" t="s">
        <v>448</v>
      </c>
      <c r="J169" s="433" t="s">
        <v>217</v>
      </c>
      <c r="K169" s="433" t="s">
        <v>591</v>
      </c>
      <c r="L169" s="433" t="s">
        <v>218</v>
      </c>
      <c r="M169" s="449" t="s">
        <v>282</v>
      </c>
      <c r="N169" s="449" t="s">
        <v>265</v>
      </c>
      <c r="O169" s="449" t="s">
        <v>219</v>
      </c>
      <c r="P169" s="450" t="s">
        <v>596</v>
      </c>
      <c r="Q169"/>
      <c r="R169"/>
      <c r="S169"/>
    </row>
    <row r="170" spans="9:19">
      <c r="I170" s="217" t="s">
        <v>14</v>
      </c>
      <c r="J170" s="253">
        <f>SUMPRODUCT(--('Current Strategy'!$G$16:$G$174=I170),'Current Strategy'!$K$16:$K$174)/8</f>
        <v>2.5528571428571429</v>
      </c>
      <c r="K170" s="253">
        <f t="shared" ref="K170:K190" si="30">J170+L170</f>
        <v>5.0199999999999996</v>
      </c>
      <c r="L170" s="253">
        <f>SUMPRODUCT(--('Expanded Contact Investigaton'!$G$24:$G$146=I170),'Expanded Contact Investigaton'!$K$24:$K$146)/8</f>
        <v>2.4671428571428571</v>
      </c>
      <c r="M170" s="253">
        <f>SUMPRODUCT(--('Testing CHW LTCF Employees+Res'!$G$23:$G$223=I170),'Testing CHW LTCF Employees+Res'!$K$23:$K$223)/8</f>
        <v>13.767498040876392</v>
      </c>
      <c r="N170" s="253">
        <f>SUMPRODUCT(--('Testing Hospital Employees'!$G$23:$G$211=I170),'Testing Hospital Employees'!$K$23:$K$211)/8</f>
        <v>1.6668367392428667</v>
      </c>
      <c r="O170" s="253">
        <f>SUMPRODUCT(--('Testing Essential Workers'!$G$23:$G$223=I170),'Testing Essential Workers'!$K$23:$K$223)/8</f>
        <v>12.134975246637117</v>
      </c>
      <c r="P170" s="253">
        <f>SUMPRODUCT(--('Testing Schoolchildren &amp; Staff'!$G$25:$G$223=I170),'Testing Schoolchildren &amp; Staff'!$K$25:$K$223)/8</f>
        <v>14.516907009611799</v>
      </c>
      <c r="Q170"/>
      <c r="R170"/>
      <c r="S170"/>
    </row>
    <row r="171" spans="9:19">
      <c r="I171" s="217" t="s">
        <v>17</v>
      </c>
      <c r="J171" s="246">
        <f>SUMPRODUCT(--('Current Strategy'!$G$16:$G$174=I171),'Current Strategy'!$K$16:$K$174)/8</f>
        <v>0.85285714285714276</v>
      </c>
      <c r="K171" s="246">
        <f t="shared" si="30"/>
        <v>1.7057142857142855</v>
      </c>
      <c r="L171" s="246">
        <f>SUMPRODUCT(--('Expanded Contact Investigaton'!$G$24:$G$146=I171),'Expanded Contact Investigaton'!$K$24:$K$146)/8</f>
        <v>0.85285714285714276</v>
      </c>
      <c r="M171" s="246">
        <f>SUMPRODUCT(--('Testing CHW LTCF Employees+Res'!$G$23:$G$223=I171),'Testing CHW LTCF Employees+Res'!$K$23:$K$223)/8</f>
        <v>13.767498040876392</v>
      </c>
      <c r="N171" s="246">
        <f>SUMPRODUCT(--('Testing Hospital Employees'!$G$23:$G$211=I171),'Testing Hospital Employees'!$K$23:$K$211)/8</f>
        <v>1.4284891823285712</v>
      </c>
      <c r="O171" s="246">
        <f>SUMPRODUCT(--('Testing Essential Workers'!$G$23:$G$223=I171),'Testing Essential Workers'!$K$23:$K$223)/8</f>
        <v>12.134975246637117</v>
      </c>
      <c r="P171" s="246">
        <f>SUMPRODUCT(--('Testing Schoolchildren &amp; Staff'!$G$25:$G$223=I171),'Testing Schoolchildren &amp; Staff'!$K$25:$K$223)/8</f>
        <v>14.516907009611799</v>
      </c>
      <c r="Q171"/>
      <c r="R171"/>
      <c r="S171"/>
    </row>
    <row r="172" spans="9:19">
      <c r="I172" s="217" t="s">
        <v>12</v>
      </c>
      <c r="J172" s="246">
        <f>SUMPRODUCT(--('Current Strategy'!$G$16:$G$174=I172),'Current Strategy'!$K$16:$K$174)/8</f>
        <v>1.0228571428571429</v>
      </c>
      <c r="K172" s="246">
        <f t="shared" si="30"/>
        <v>2.0457142857142858</v>
      </c>
      <c r="L172" s="246">
        <f>SUMPRODUCT(--('Expanded Contact Investigaton'!$G$24:$G$146=I172),'Expanded Contact Investigaton'!$K$24:$K$146)/8</f>
        <v>1.0228571428571429</v>
      </c>
      <c r="M172" s="246">
        <f>SUMPRODUCT(--('Testing CHW LTCF Employees+Res'!$G$23:$G$223=I172),'Testing CHW LTCF Employees+Res'!$K$23:$K$223)/8</f>
        <v>0</v>
      </c>
      <c r="N172" s="246">
        <f>SUMPRODUCT(--('Testing Hospital Employees'!$G$23:$G$211=I172),'Testing Hospital Employees'!$K$23:$K$211)/8</f>
        <v>3.1733948571428653E-4</v>
      </c>
      <c r="O172" s="246">
        <f>SUMPRODUCT(--('Testing Essential Workers'!$G$23:$G$223=I172),'Testing Essential Workers'!$K$23:$K$223)/8</f>
        <v>0</v>
      </c>
      <c r="P172" s="246">
        <f>SUMPRODUCT(--('Testing Schoolchildren &amp; Staff'!$G$25:$G$223=I172),'Testing Schoolchildren &amp; Staff'!$K$25:$K$223)/8</f>
        <v>0</v>
      </c>
      <c r="Q172"/>
      <c r="R172"/>
      <c r="S172"/>
    </row>
    <row r="173" spans="9:19" ht="20.100000000000001" customHeight="1">
      <c r="I173" s="217" t="s">
        <v>13</v>
      </c>
      <c r="J173" s="246">
        <f>SUMPRODUCT(--('Current Strategy'!$G$16:$G$174=I173),'Current Strategy'!$K$16:$K$174)/8</f>
        <v>3.085714285714285E-2</v>
      </c>
      <c r="K173" s="246">
        <f t="shared" si="30"/>
        <v>6.1714285714285701E-2</v>
      </c>
      <c r="L173" s="246">
        <f>SUMPRODUCT(--('Expanded Contact Investigaton'!$G$24:$G$146=I173),'Expanded Contact Investigaton'!$K$24:$K$146)/8</f>
        <v>3.085714285714285E-2</v>
      </c>
      <c r="M173" s="246">
        <f>SUMPRODUCT(--('Testing CHW LTCF Employees+Res'!$G$23:$G$223=I173),'Testing CHW LTCF Employees+Res'!$K$23:$K$223)/8</f>
        <v>0</v>
      </c>
      <c r="N173" s="246">
        <f>SUMPRODUCT(--('Testing Hospital Employees'!$G$23:$G$211=I173),'Testing Hospital Employees'!$K$23:$K$211)/8</f>
        <v>1.5721405714285753E-5</v>
      </c>
      <c r="O173" s="246">
        <f>SUMPRODUCT(--('Testing Essential Workers'!$G$23:$G$223=I173),'Testing Essential Workers'!$K$23:$K$223)/8</f>
        <v>0</v>
      </c>
      <c r="P173" s="246">
        <f>SUMPRODUCT(--('Testing Schoolchildren &amp; Staff'!$G$25:$G$223=I173),'Testing Schoolchildren &amp; Staff'!$K$25:$K$223)/8</f>
        <v>0</v>
      </c>
      <c r="Q173"/>
      <c r="R173"/>
      <c r="S173"/>
    </row>
    <row r="174" spans="9:19">
      <c r="I174" s="217" t="s">
        <v>27</v>
      </c>
      <c r="J174" s="246">
        <f>SUMPRODUCT(--('Current Strategy'!$G$16:$G$174=I174),'Current Strategy'!$K$16:$K$174)/8</f>
        <v>0</v>
      </c>
      <c r="K174" s="246">
        <f t="shared" si="30"/>
        <v>0</v>
      </c>
      <c r="L174" s="246">
        <f>SUMPRODUCT(--('Expanded Contact Investigaton'!$G$24:$G$146=I174),'Expanded Contact Investigaton'!$K$24:$K$146)/8</f>
        <v>0</v>
      </c>
      <c r="M174" s="246">
        <f>SUMPRODUCT(--('Testing CHW LTCF Employees+Res'!$G$23:$G$223=I174),'Testing CHW LTCF Employees+Res'!$K$23:$K$223)/8</f>
        <v>0</v>
      </c>
      <c r="N174" s="246">
        <f>SUMPRODUCT(--('Testing Hospital Employees'!$G$23:$G$211=I174),'Testing Hospital Employees'!$K$23:$K$211)/8</f>
        <v>9.9974525500000008E-2</v>
      </c>
      <c r="O174" s="246">
        <f>SUMPRODUCT(--('Testing Essential Workers'!$G$23:$G$223=I174),'Testing Essential Workers'!$K$23:$K$223)/8</f>
        <v>0</v>
      </c>
      <c r="P174" s="246">
        <f>SUMPRODUCT(--('Testing Schoolchildren &amp; Staff'!$G$25:$G$223=I174),'Testing Schoolchildren &amp; Staff'!$K$25:$K$223)/8</f>
        <v>0</v>
      </c>
      <c r="Q174"/>
      <c r="R174"/>
      <c r="S174"/>
    </row>
    <row r="175" spans="9:19">
      <c r="I175" s="217" t="s">
        <v>6</v>
      </c>
      <c r="J175" s="246">
        <f>SUMPRODUCT(--('Current Strategy'!$G$16:$G$174=I175),'Current Strategy'!$K$16:$K$174)/8</f>
        <v>0.51</v>
      </c>
      <c r="K175" s="246">
        <f t="shared" si="30"/>
        <v>1.02</v>
      </c>
      <c r="L175" s="246">
        <f>SUMPRODUCT(--('Expanded Contact Investigaton'!$G$24:$G$146=I175),'Expanded Contact Investigaton'!$K$24:$K$146)/8</f>
        <v>0.51</v>
      </c>
      <c r="M175" s="246">
        <f>SUMPRODUCT(--('Testing CHW LTCF Employees+Res'!$G$23:$G$223=I175),'Testing CHW LTCF Employees+Res'!$K$23:$K$223)/8</f>
        <v>0</v>
      </c>
      <c r="N175" s="246">
        <f>SUMPRODUCT(--('Testing Hospital Employees'!$G$23:$G$211=I175),'Testing Hospital Employees'!$K$23:$K$211)/8</f>
        <v>1.0699290000000026E-4</v>
      </c>
      <c r="O175" s="246">
        <f>SUMPRODUCT(--('Testing Essential Workers'!$G$23:$G$223=I175),'Testing Essential Workers'!$K$23:$K$223)/8</f>
        <v>0</v>
      </c>
      <c r="P175" s="246">
        <f>SUMPRODUCT(--('Testing Schoolchildren &amp; Staff'!$G$25:$G$223=I175),'Testing Schoolchildren &amp; Staff'!$K$25:$K$223)/8</f>
        <v>0</v>
      </c>
      <c r="Q175"/>
      <c r="R175"/>
      <c r="S175"/>
    </row>
    <row r="176" spans="9:19">
      <c r="I176" s="217" t="s">
        <v>21</v>
      </c>
      <c r="J176" s="246">
        <f>SUMPRODUCT(--('Current Strategy'!$G$16:$G$174=I176),'Current Strategy'!$K$16:$K$174)/8</f>
        <v>0</v>
      </c>
      <c r="K176" s="246">
        <f t="shared" si="30"/>
        <v>0</v>
      </c>
      <c r="L176" s="246">
        <f>SUMPRODUCT(--('Expanded Contact Investigaton'!$G$24:$G$146=I176),'Expanded Contact Investigaton'!$K$24:$K$146)/8</f>
        <v>0</v>
      </c>
      <c r="M176" s="246">
        <f>SUMPRODUCT(--('Testing CHW LTCF Employees+Res'!$G$23:$G$223=I176),'Testing CHW LTCF Employees+Res'!$K$23:$K$223)/8</f>
        <v>0</v>
      </c>
      <c r="N176" s="246">
        <f>SUMPRODUCT(--('Testing Hospital Employees'!$G$23:$G$211=I176),'Testing Hospital Employees'!$K$23:$K$211)/8</f>
        <v>0</v>
      </c>
      <c r="O176" s="246">
        <f>SUMPRODUCT(--('Testing Essential Workers'!$G$23:$G$223=I176),'Testing Essential Workers'!$K$23:$K$223)/8</f>
        <v>0</v>
      </c>
      <c r="P176" s="246">
        <f>SUMPRODUCT(--('Testing Schoolchildren &amp; Staff'!$G$25:$G$223=I176),'Testing Schoolchildren &amp; Staff'!$K$25:$K$223)/8</f>
        <v>0</v>
      </c>
      <c r="Q176"/>
      <c r="R176"/>
      <c r="S176"/>
    </row>
    <row r="177" spans="9:19">
      <c r="I177" s="221" t="s">
        <v>386</v>
      </c>
      <c r="J177" s="246">
        <f>SUMPRODUCT(--('Current Strategy'!$G$16:$G$174=I177),'Current Strategy'!$K$16:$K$174)/8</f>
        <v>0</v>
      </c>
      <c r="K177" s="246">
        <f t="shared" si="30"/>
        <v>0</v>
      </c>
      <c r="L177" s="246">
        <f>SUMPRODUCT(--('Expanded Contact Investigaton'!$G$24:$G$146=I177),'Expanded Contact Investigaton'!$K$24:$K$146)/8</f>
        <v>0</v>
      </c>
      <c r="M177" s="246">
        <f>SUMPRODUCT(--('Testing CHW LTCF Employees+Res'!$G$23:$G$223=I177),'Testing CHW LTCF Employees+Res'!$K$23:$K$223)/8</f>
        <v>0</v>
      </c>
      <c r="N177" s="246">
        <f>SUMPRODUCT(--('Testing Hospital Employees'!$G$23:$G$211=I177),'Testing Hospital Employees'!$K$23:$K$211)/8</f>
        <v>0</v>
      </c>
      <c r="O177" s="246">
        <f>SUMPRODUCT(--('Testing Essential Workers'!$G$23:$G$223=I177),'Testing Essential Workers'!$K$23:$K$223)/8</f>
        <v>0</v>
      </c>
      <c r="P177" s="246">
        <f>SUMPRODUCT(--('Testing Schoolchildren &amp; Staff'!$G$25:$G$223=I177),'Testing Schoolchildren &amp; Staff'!$K$25:$K$223)/8</f>
        <v>0</v>
      </c>
      <c r="Q177"/>
      <c r="R177"/>
      <c r="S177"/>
    </row>
    <row r="178" spans="9:19">
      <c r="I178" s="217" t="s">
        <v>325</v>
      </c>
      <c r="J178" s="246">
        <f>SUMPRODUCT(--('Current Strategy'!$G$16:$G$174=I178),'Current Strategy'!$K$16:$K$174)/8</f>
        <v>1.4085714285714286</v>
      </c>
      <c r="K178" s="246">
        <f t="shared" si="30"/>
        <v>2.2171428571428571</v>
      </c>
      <c r="L178" s="246">
        <f>SUMPRODUCT(--('Expanded Contact Investigaton'!$G$24:$G$146=I178),'Expanded Contact Investigaton'!$K$24:$K$146)/8</f>
        <v>0.80857142857142861</v>
      </c>
      <c r="M178" s="246">
        <f>SUMPRODUCT(--('Testing CHW LTCF Employees+Res'!$G$23:$G$223=I178),'Testing CHW LTCF Employees+Res'!$K$23:$K$223)/8</f>
        <v>0</v>
      </c>
      <c r="N178" s="246">
        <f>SUMPRODUCT(--('Testing Hospital Employees'!$G$23:$G$211=I178),'Testing Hospital Employees'!$K$23:$K$211)/8</f>
        <v>1.4265720000000037E-4</v>
      </c>
      <c r="O178" s="246">
        <f>SUMPRODUCT(--('Testing Essential Workers'!$G$23:$G$223=I178),'Testing Essential Workers'!$K$23:$K$223)/8</f>
        <v>0</v>
      </c>
      <c r="P178" s="246">
        <f>SUMPRODUCT(--('Testing Schoolchildren &amp; Staff'!$G$25:$G$223=I178),'Testing Schoolchildren &amp; Staff'!$K$25:$K$223)/8</f>
        <v>0</v>
      </c>
      <c r="Q178"/>
      <c r="R178"/>
      <c r="S178"/>
    </row>
    <row r="179" spans="9:19">
      <c r="I179" s="217" t="s">
        <v>31</v>
      </c>
      <c r="J179" s="246">
        <f>SUMPRODUCT(--('Current Strategy'!$G$16:$G$174=I179),'Current Strategy'!$K$16:$K$174)/8</f>
        <v>0</v>
      </c>
      <c r="K179" s="246">
        <f t="shared" si="30"/>
        <v>0</v>
      </c>
      <c r="L179" s="246">
        <f>SUMPRODUCT(--('Expanded Contact Investigaton'!$G$24:$G$146=I179),'Expanded Contact Investigaton'!$K$24:$K$146)/8</f>
        <v>0</v>
      </c>
      <c r="M179" s="246">
        <f>SUMPRODUCT(--('Testing CHW LTCF Employees+Res'!$G$23:$G$223=I179),'Testing CHW LTCF Employees+Res'!$K$23:$K$223)/8</f>
        <v>0</v>
      </c>
      <c r="N179" s="246">
        <f>SUMPRODUCT(--('Testing Hospital Employees'!$G$23:$G$211=I179),'Testing Hospital Employees'!$K$23:$K$211)/8</f>
        <v>0</v>
      </c>
      <c r="O179" s="246">
        <f>SUMPRODUCT(--('Testing Essential Workers'!$G$23:$G$223=I179),'Testing Essential Workers'!$K$23:$K$223)/8</f>
        <v>0</v>
      </c>
      <c r="P179" s="246">
        <f>SUMPRODUCT(--('Testing Schoolchildren &amp; Staff'!$G$25:$G$223=I179),'Testing Schoolchildren &amp; Staff'!$K$25:$K$223)/8</f>
        <v>0</v>
      </c>
      <c r="Q179"/>
      <c r="R179"/>
      <c r="S179"/>
    </row>
    <row r="180" spans="9:19">
      <c r="I180" s="217" t="s">
        <v>40</v>
      </c>
      <c r="J180" s="246">
        <f>SUMPRODUCT(--('Current Strategy'!$G$16:$G$174=I180),'Current Strategy'!$K$16:$K$174)/8</f>
        <v>0</v>
      </c>
      <c r="K180" s="246">
        <f t="shared" si="30"/>
        <v>0</v>
      </c>
      <c r="L180" s="246">
        <f>SUMPRODUCT(--('Expanded Contact Investigaton'!$G$24:$G$146=I180),'Expanded Contact Investigaton'!$K$24:$K$146)/8</f>
        <v>0</v>
      </c>
      <c r="M180" s="246">
        <f>SUMPRODUCT(--('Testing CHW LTCF Employees+Res'!$G$23:$G$223=I180),'Testing CHW LTCF Employees+Res'!$K$23:$K$223)/8</f>
        <v>0</v>
      </c>
      <c r="N180" s="246">
        <f>SUMPRODUCT(--('Testing Hospital Employees'!$G$23:$G$211=I180),'Testing Hospital Employees'!$K$23:$K$211)/8</f>
        <v>0</v>
      </c>
      <c r="O180" s="246">
        <f>SUMPRODUCT(--('Testing Essential Workers'!$G$23:$G$223=I180),'Testing Essential Workers'!$K$23:$K$223)/8</f>
        <v>0</v>
      </c>
      <c r="P180" s="246">
        <f>SUMPRODUCT(--('Testing Schoolchildren &amp; Staff'!$G$25:$G$223=I180),'Testing Schoolchildren &amp; Staff'!$K$25:$K$223)/8</f>
        <v>0</v>
      </c>
      <c r="Q180"/>
      <c r="R180"/>
      <c r="S180"/>
    </row>
    <row r="181" spans="9:19">
      <c r="I181" s="217" t="s">
        <v>449</v>
      </c>
      <c r="J181" s="246">
        <f>SUMPRODUCT(--('Current Strategy'!$G$16:$G$174=I181),'Current Strategy'!$K$16:$K$174)/8</f>
        <v>0.17</v>
      </c>
      <c r="K181" s="246">
        <f t="shared" si="30"/>
        <v>0.37257142857142855</v>
      </c>
      <c r="L181" s="246">
        <f>SUMPRODUCT(--('Expanded Contact Investigaton'!$G$24:$G$146=I181),'Expanded Contact Investigaton'!$K$24:$K$146)/8</f>
        <v>0.20257142857142857</v>
      </c>
      <c r="M181" s="246">
        <f>SUMPRODUCT(--('Testing CHW LTCF Employees+Res'!$G$23:$G$223=I181),'Testing CHW LTCF Employees+Res'!$K$23:$K$223)/8</f>
        <v>0</v>
      </c>
      <c r="N181" s="246">
        <f>SUMPRODUCT(--('Testing Hospital Employees'!$G$23:$G$211=I181),'Testing Hospital Employees'!$K$23:$K$211)/8</f>
        <v>5.2259117142857279E-5</v>
      </c>
      <c r="O181" s="246">
        <f>SUMPRODUCT(--('Testing Essential Workers'!$G$23:$G$223=I181),'Testing Essential Workers'!$K$23:$K$223)/8</f>
        <v>0</v>
      </c>
      <c r="P181" s="246">
        <f>SUMPRODUCT(--('Testing Schoolchildren &amp; Staff'!$G$25:$G$223=I181),'Testing Schoolchildren &amp; Staff'!$K$25:$K$223)/8</f>
        <v>0</v>
      </c>
      <c r="Q181"/>
      <c r="R181"/>
      <c r="S181"/>
    </row>
    <row r="182" spans="9:19" ht="20.100000000000001" customHeight="1">
      <c r="I182" s="217" t="s">
        <v>323</v>
      </c>
      <c r="J182" s="246">
        <f>SUMPRODUCT(--('Current Strategy'!$G$16:$G$174=I182),'Current Strategy'!$K$16:$K$174)/8</f>
        <v>0.17</v>
      </c>
      <c r="K182" s="246">
        <f t="shared" si="30"/>
        <v>0.34</v>
      </c>
      <c r="L182" s="246">
        <f>SUMPRODUCT(--('Expanded Contact Investigaton'!$G$24:$G$146=I182),'Expanded Contact Investigaton'!$K$24:$K$146)/8</f>
        <v>0.17</v>
      </c>
      <c r="M182" s="246">
        <f>SUMPRODUCT(--('Testing CHW LTCF Employees+Res'!$G$23:$G$223=I182),'Testing CHW LTCF Employees+Res'!$K$23:$K$223)/8</f>
        <v>0</v>
      </c>
      <c r="N182" s="246">
        <f>SUMPRODUCT(--('Testing Hospital Employees'!$G$23:$G$211=I182),'Testing Hospital Employees'!$K$23:$K$211)/8</f>
        <v>3.5664300000000092E-5</v>
      </c>
      <c r="O182" s="246">
        <f>SUMPRODUCT(--('Testing Essential Workers'!$G$23:$G$223=I182),'Testing Essential Workers'!$K$23:$K$223)/8</f>
        <v>0</v>
      </c>
      <c r="P182" s="246">
        <f>SUMPRODUCT(--('Testing Schoolchildren &amp; Staff'!$G$25:$G$223=I182),'Testing Schoolchildren &amp; Staff'!$K$25:$K$223)/8</f>
        <v>0</v>
      </c>
      <c r="Q182"/>
      <c r="R182"/>
      <c r="S182"/>
    </row>
    <row r="183" spans="9:19">
      <c r="I183" s="217" t="s">
        <v>354</v>
      </c>
      <c r="J183" s="246">
        <f>SUMPRODUCT(--('Current Strategy'!$G$16:$G$174=I183),'Current Strategy'!$K$16:$K$174)/8</f>
        <v>0</v>
      </c>
      <c r="K183" s="246">
        <f t="shared" si="30"/>
        <v>0</v>
      </c>
      <c r="L183" s="246">
        <f>SUMPRODUCT(--('Expanded Contact Investigaton'!$G$24:$G$146=I183),'Expanded Contact Investigaton'!$K$24:$K$146)/8</f>
        <v>0</v>
      </c>
      <c r="M183" s="246">
        <f>SUMPRODUCT(--('Testing CHW LTCF Employees+Res'!$G$23:$G$223=I183),'Testing CHW LTCF Employees+Res'!$K$23:$K$223)/8</f>
        <v>0</v>
      </c>
      <c r="N183" s="246">
        <f>SUMPRODUCT(--('Testing Hospital Employees'!$G$23:$G$211=I183),'Testing Hospital Employees'!$K$23:$K$211)/8</f>
        <v>0</v>
      </c>
      <c r="O183" s="246">
        <f>SUMPRODUCT(--('Testing Essential Workers'!$G$23:$G$223=I183),'Testing Essential Workers'!$K$23:$K$223)/8</f>
        <v>0</v>
      </c>
      <c r="P183" s="246">
        <f>SUMPRODUCT(--('Testing Schoolchildren &amp; Staff'!$G$25:$G$223=I183),'Testing Schoolchildren &amp; Staff'!$K$25:$K$223)/8</f>
        <v>0</v>
      </c>
      <c r="Q183"/>
      <c r="R183"/>
      <c r="S183"/>
    </row>
    <row r="184" spans="9:19">
      <c r="I184" s="217" t="s">
        <v>32</v>
      </c>
      <c r="J184" s="246">
        <f>SUMPRODUCT(--('Current Strategy'!$G$16:$G$174=I184),'Current Strategy'!$K$16:$K$174)/8</f>
        <v>0</v>
      </c>
      <c r="K184" s="246">
        <f t="shared" si="30"/>
        <v>0</v>
      </c>
      <c r="L184" s="246">
        <f>SUMPRODUCT(--('Expanded Contact Investigaton'!$G$24:$G$146=I184),'Expanded Contact Investigaton'!$K$24:$K$146)/8</f>
        <v>0</v>
      </c>
      <c r="M184" s="246">
        <f>SUMPRODUCT(--('Testing CHW LTCF Employees+Res'!$G$23:$G$223=I184),'Testing CHW LTCF Employees+Res'!$K$23:$K$223)/8</f>
        <v>0</v>
      </c>
      <c r="N184" s="246">
        <f>SUMPRODUCT(--('Testing Hospital Employees'!$G$23:$G$211=I184),'Testing Hospital Employees'!$K$23:$K$211)/8</f>
        <v>0</v>
      </c>
      <c r="O184" s="246">
        <f>SUMPRODUCT(--('Testing Essential Workers'!$G$23:$G$223=I184),'Testing Essential Workers'!$K$23:$K$223)/8</f>
        <v>0</v>
      </c>
      <c r="P184" s="246">
        <f>SUMPRODUCT(--('Testing Schoolchildren &amp; Staff'!$G$25:$G$223=I184),'Testing Schoolchildren &amp; Staff'!$K$25:$K$223)/8</f>
        <v>0</v>
      </c>
      <c r="Q184"/>
      <c r="R184"/>
      <c r="S184"/>
    </row>
    <row r="185" spans="9:19">
      <c r="I185" s="217" t="s">
        <v>33</v>
      </c>
      <c r="J185" s="246">
        <f>SUMPRODUCT(--('Current Strategy'!$G$16:$G$174=I185),'Current Strategy'!$K$16:$K$174)/8</f>
        <v>0</v>
      </c>
      <c r="K185" s="246">
        <f t="shared" si="30"/>
        <v>0</v>
      </c>
      <c r="L185" s="246">
        <f>SUMPRODUCT(--('Expanded Contact Investigaton'!$G$24:$G$146=I185),'Expanded Contact Investigaton'!$K$24:$K$146)/8</f>
        <v>0</v>
      </c>
      <c r="M185" s="246">
        <f>SUMPRODUCT(--('Testing CHW LTCF Employees+Res'!$G$23:$G$223=I185),'Testing CHW LTCF Employees+Res'!$K$23:$K$223)/8</f>
        <v>0</v>
      </c>
      <c r="N185" s="246">
        <f>SUMPRODUCT(--('Testing Hospital Employees'!$G$23:$G$211=I185),'Testing Hospital Employees'!$K$23:$K$211)/8</f>
        <v>0</v>
      </c>
      <c r="O185" s="246">
        <f>SUMPRODUCT(--('Testing Essential Workers'!$G$23:$G$223=I185),'Testing Essential Workers'!$K$23:$K$223)/8</f>
        <v>0</v>
      </c>
      <c r="P185" s="246">
        <f>SUMPRODUCT(--('Testing Schoolchildren &amp; Staff'!$G$25:$G$223=I185),'Testing Schoolchildren &amp; Staff'!$K$25:$K$223)/8</f>
        <v>0</v>
      </c>
      <c r="Q185"/>
      <c r="R185"/>
      <c r="S185"/>
    </row>
    <row r="186" spans="9:19">
      <c r="I186" s="217" t="s">
        <v>34</v>
      </c>
      <c r="J186" s="246">
        <f>SUMPRODUCT(--('Current Strategy'!$G$16:$G$174=I186),'Current Strategy'!$K$16:$K$174)/8</f>
        <v>0</v>
      </c>
      <c r="K186" s="246">
        <f t="shared" si="30"/>
        <v>0</v>
      </c>
      <c r="L186" s="246">
        <f>SUMPRODUCT(--('Expanded Contact Investigaton'!$G$24:$G$146=I186),'Expanded Contact Investigaton'!$K$24:$K$146)/8</f>
        <v>0</v>
      </c>
      <c r="M186" s="246">
        <f>SUMPRODUCT(--('Testing CHW LTCF Employees+Res'!$G$23:$G$223=I186),'Testing CHW LTCF Employees+Res'!$K$23:$K$223)/8</f>
        <v>0</v>
      </c>
      <c r="N186" s="246">
        <f>SUMPRODUCT(--('Testing Hospital Employees'!$G$23:$G$211=I186),'Testing Hospital Employees'!$K$23:$K$211)/8</f>
        <v>0</v>
      </c>
      <c r="O186" s="246">
        <f>SUMPRODUCT(--('Testing Essential Workers'!$G$23:$G$223=I186),'Testing Essential Workers'!$K$23:$K$223)/8</f>
        <v>0</v>
      </c>
      <c r="P186" s="246">
        <f>SUMPRODUCT(--('Testing Schoolchildren &amp; Staff'!$G$25:$G$223=I186),'Testing Schoolchildren &amp; Staff'!$K$25:$K$223)/8</f>
        <v>0</v>
      </c>
      <c r="Q186"/>
      <c r="R186"/>
      <c r="S186"/>
    </row>
    <row r="187" spans="9:19">
      <c r="I187" s="217" t="s">
        <v>450</v>
      </c>
      <c r="J187" s="246">
        <f>SUMPRODUCT(--('Current Strategy'!$G$16:$G$174=I187),'Current Strategy'!$K$16:$K$174)/8</f>
        <v>0</v>
      </c>
      <c r="K187" s="246">
        <f t="shared" si="30"/>
        <v>0</v>
      </c>
      <c r="L187" s="246">
        <f>SUMPRODUCT(--('Expanded Contact Investigaton'!$G$24:$G$146=I187),'Expanded Contact Investigaton'!$K$24:$K$146)/8</f>
        <v>0</v>
      </c>
      <c r="M187" s="246">
        <f>SUMPRODUCT(--('Testing CHW LTCF Employees+Res'!$G$23:$G$223=I187),'Testing CHW LTCF Employees+Res'!$K$23:$K$223)/8</f>
        <v>0</v>
      </c>
      <c r="N187" s="246">
        <f>SUMPRODUCT(--('Testing Hospital Employees'!$G$23:$G$211=I187),'Testing Hospital Employees'!$K$23:$K$211)/8</f>
        <v>0</v>
      </c>
      <c r="O187" s="246">
        <f>SUMPRODUCT(--('Testing Essential Workers'!$G$23:$G$223=I187),'Testing Essential Workers'!$K$23:$K$223)/8</f>
        <v>0</v>
      </c>
      <c r="P187" s="246">
        <f>SUMPRODUCT(--('Testing Schoolchildren &amp; Staff'!$G$25:$G$223=I187),'Testing Schoolchildren &amp; Staff'!$K$25:$K$223)/8</f>
        <v>0</v>
      </c>
      <c r="Q187"/>
      <c r="R187"/>
      <c r="S187"/>
    </row>
    <row r="188" spans="9:19">
      <c r="I188" s="217" t="s">
        <v>180</v>
      </c>
      <c r="J188" s="246">
        <f>SUMPRODUCT(--('Current Strategy'!$G$16:$G$174=I188),'Current Strategy'!$K$16:$K$174)/8</f>
        <v>0</v>
      </c>
      <c r="K188" s="246">
        <f t="shared" si="30"/>
        <v>0</v>
      </c>
      <c r="L188" s="246">
        <f>SUMPRODUCT(--('Expanded Contact Investigaton'!$G$24:$G$146=I188),'Expanded Contact Investigaton'!$K$24:$K$146)/8</f>
        <v>0</v>
      </c>
      <c r="M188" s="246">
        <f>SUMPRODUCT(--('Testing CHW LTCF Employees+Res'!$G$23:$G$223=I188),'Testing CHW LTCF Employees+Res'!$K$23:$K$223)/8</f>
        <v>0</v>
      </c>
      <c r="N188" s="246">
        <f>SUMPRODUCT(--('Testing Hospital Employees'!$G$23:$G$211=I188),'Testing Hospital Employees'!$K$23:$K$211)/8</f>
        <v>0</v>
      </c>
      <c r="O188" s="246">
        <f>SUMPRODUCT(--('Testing Essential Workers'!$G$23:$G$223=I188),'Testing Essential Workers'!$K$23:$K$223)/8</f>
        <v>0</v>
      </c>
      <c r="P188" s="246">
        <f>SUMPRODUCT(--('Testing Schoolchildren &amp; Staff'!$G$25:$G$223=I188),'Testing Schoolchildren &amp; Staff'!$K$25:$K$223)/8</f>
        <v>0</v>
      </c>
      <c r="Q188"/>
      <c r="R188"/>
      <c r="S188"/>
    </row>
    <row r="189" spans="9:19" ht="20.100000000000001" customHeight="1">
      <c r="I189" s="217" t="s">
        <v>353</v>
      </c>
      <c r="J189" s="246">
        <f>SUMPRODUCT(--('Current Strategy'!$G$16:$G$174=I189),'Current Strategy'!$K$16:$K$174)/8</f>
        <v>0</v>
      </c>
      <c r="K189" s="246">
        <f t="shared" si="30"/>
        <v>0</v>
      </c>
      <c r="L189" s="246">
        <f>SUMPRODUCT(--('Expanded Contact Investigaton'!$G$24:$G$146=I189),'Expanded Contact Investigaton'!$K$24:$K$146)/8</f>
        <v>0</v>
      </c>
      <c r="M189" s="246">
        <f>SUMPRODUCT(--('Testing CHW LTCF Employees+Res'!$G$23:$G$223=I189),'Testing CHW LTCF Employees+Res'!$K$23:$K$223)/8</f>
        <v>0</v>
      </c>
      <c r="N189" s="246">
        <f>SUMPRODUCT(--('Testing Hospital Employees'!$G$23:$G$211=I189),'Testing Hospital Employees'!$K$23:$K$211)/8</f>
        <v>0</v>
      </c>
      <c r="O189" s="246">
        <f>SUMPRODUCT(--('Testing Essential Workers'!$G$23:$G$223=I189),'Testing Essential Workers'!$K$23:$K$223)/8</f>
        <v>0</v>
      </c>
      <c r="P189" s="246">
        <f>SUMPRODUCT(--('Testing Schoolchildren &amp; Staff'!$G$25:$G$223=I189),'Testing Schoolchildren &amp; Staff'!$K$25:$K$223)/8</f>
        <v>0</v>
      </c>
      <c r="Q189"/>
      <c r="R189"/>
      <c r="S189"/>
    </row>
    <row r="190" spans="9:19" ht="16.5" thickBot="1">
      <c r="I190" s="224" t="s">
        <v>230</v>
      </c>
      <c r="J190" s="247">
        <f>SUMPRODUCT(--('Current Strategy'!$G$16:$G$174=I190),'Current Strategy'!$K$16:$K$174)/8</f>
        <v>0</v>
      </c>
      <c r="K190" s="247">
        <f t="shared" si="30"/>
        <v>0</v>
      </c>
      <c r="L190" s="247">
        <f>SUMPRODUCT(--('Expanded Contact Investigaton'!$G$24:$G$146=I190),'Expanded Contact Investigaton'!$K$24:$K$146)/8</f>
        <v>0</v>
      </c>
      <c r="M190" s="247">
        <f>SUMPRODUCT(--('Testing CHW LTCF Employees+Res'!$G$23:$G$223=I190),'Testing CHW LTCF Employees+Res'!$K$23:$K$223)/8</f>
        <v>0</v>
      </c>
      <c r="N190" s="247">
        <f>SUMPRODUCT(--('Testing Hospital Employees'!$G$23:$G$211=I190),'Testing Hospital Employees'!$K$23:$K$211)/8</f>
        <v>0</v>
      </c>
      <c r="O190" s="247">
        <f>SUMPRODUCT(--('Testing Essential Workers'!$G$23:$G$223=I190),'Testing Essential Workers'!$K$23:$K$223)/8</f>
        <v>0</v>
      </c>
      <c r="P190" s="247">
        <f>SUMPRODUCT(--('Testing Schoolchildren &amp; Staff'!$G$25:$G$223=I190),'Testing Schoolchildren &amp; Staff'!$K$25:$K$223)/8</f>
        <v>0</v>
      </c>
      <c r="Q190"/>
      <c r="R190"/>
      <c r="S190"/>
    </row>
    <row r="191" spans="9:19" ht="16.5" thickBot="1">
      <c r="P191"/>
      <c r="Q191"/>
      <c r="R191"/>
      <c r="S191"/>
    </row>
    <row r="192" spans="9:19" ht="20.100000000000001" customHeight="1" thickBot="1">
      <c r="I192" s="459" t="s">
        <v>483</v>
      </c>
      <c r="J192" s="460"/>
      <c r="K192" s="460"/>
      <c r="L192" s="460"/>
      <c r="M192" s="460"/>
      <c r="N192" s="460"/>
      <c r="O192" s="460"/>
      <c r="P192" s="461"/>
      <c r="Q192"/>
      <c r="R192"/>
      <c r="S192"/>
    </row>
    <row r="193" spans="9:19" ht="16.5" thickBot="1">
      <c r="P193"/>
      <c r="Q193"/>
      <c r="R193"/>
      <c r="S193"/>
    </row>
    <row r="194" spans="9:19" ht="63.75" thickBot="1">
      <c r="I194" s="100" t="s">
        <v>472</v>
      </c>
      <c r="J194" s="433" t="s">
        <v>217</v>
      </c>
      <c r="K194" s="433" t="s">
        <v>591</v>
      </c>
      <c r="L194" s="433" t="s">
        <v>218</v>
      </c>
      <c r="M194" s="449" t="s">
        <v>282</v>
      </c>
      <c r="N194" s="449" t="s">
        <v>265</v>
      </c>
      <c r="O194" s="449" t="s">
        <v>219</v>
      </c>
      <c r="P194" s="450" t="s">
        <v>596</v>
      </c>
      <c r="Q194"/>
      <c r="R194"/>
      <c r="S194"/>
    </row>
    <row r="195" spans="9:19">
      <c r="I195" t="s">
        <v>469</v>
      </c>
      <c r="J195" s="250">
        <f t="shared" ref="J195:P195" si="31">SUM(J171,J173,J175,J177,J182,J183,J187,J188,J181,J180)</f>
        <v>1.7337142857142855</v>
      </c>
      <c r="K195" s="250">
        <f t="shared" si="31"/>
        <v>3.5</v>
      </c>
      <c r="L195" s="250">
        <f t="shared" si="31"/>
        <v>1.7662857142857142</v>
      </c>
      <c r="M195" s="258">
        <f t="shared" si="31"/>
        <v>13.767498040876392</v>
      </c>
      <c r="N195" s="258">
        <f t="shared" si="31"/>
        <v>1.4286998200514283</v>
      </c>
      <c r="O195" s="258">
        <f t="shared" si="31"/>
        <v>12.134975246637117</v>
      </c>
      <c r="P195" s="250">
        <f t="shared" si="31"/>
        <v>14.516907009611799</v>
      </c>
      <c r="Q195"/>
      <c r="R195"/>
      <c r="S195"/>
    </row>
    <row r="196" spans="9:19">
      <c r="I196" t="s">
        <v>470</v>
      </c>
      <c r="J196" s="250">
        <f t="shared" ref="J196:P196" si="32">SUM(J170,J189,J190)</f>
        <v>2.5528571428571429</v>
      </c>
      <c r="K196" s="250">
        <f t="shared" si="32"/>
        <v>5.0199999999999996</v>
      </c>
      <c r="L196" s="250">
        <f t="shared" si="32"/>
        <v>2.4671428571428571</v>
      </c>
      <c r="M196" s="258">
        <f t="shared" si="32"/>
        <v>13.767498040876392</v>
      </c>
      <c r="N196" s="258">
        <f t="shared" si="32"/>
        <v>1.6668367392428667</v>
      </c>
      <c r="O196" s="258">
        <f t="shared" si="32"/>
        <v>12.134975246637117</v>
      </c>
      <c r="P196" s="250">
        <f t="shared" si="32"/>
        <v>14.516907009611799</v>
      </c>
      <c r="Q196"/>
      <c r="R196"/>
      <c r="S196"/>
    </row>
    <row r="197" spans="9:19" ht="16.5" thickBot="1">
      <c r="I197" s="241" t="s">
        <v>471</v>
      </c>
      <c r="J197" s="251">
        <f t="shared" ref="J197:P197" si="33">SUM(J174,J179,J184,J185,J186)</f>
        <v>0</v>
      </c>
      <c r="K197" s="251">
        <f t="shared" si="33"/>
        <v>0</v>
      </c>
      <c r="L197" s="251">
        <f t="shared" si="33"/>
        <v>0</v>
      </c>
      <c r="M197" s="259">
        <f t="shared" si="33"/>
        <v>0</v>
      </c>
      <c r="N197" s="259">
        <f t="shared" si="33"/>
        <v>9.9974525500000008E-2</v>
      </c>
      <c r="O197" s="259">
        <f t="shared" si="33"/>
        <v>0</v>
      </c>
      <c r="P197" s="251">
        <f t="shared" si="33"/>
        <v>0</v>
      </c>
      <c r="Q197"/>
      <c r="R197"/>
      <c r="S197"/>
    </row>
    <row r="198" spans="9:19" ht="20.100000000000001" customHeight="1" thickBot="1">
      <c r="P198"/>
      <c r="Q198"/>
      <c r="R198"/>
      <c r="S198"/>
    </row>
    <row r="199" spans="9:19" ht="20.100000000000001" customHeight="1" thickBot="1">
      <c r="I199" s="453" t="s">
        <v>484</v>
      </c>
      <c r="J199" s="454"/>
      <c r="K199" s="454"/>
      <c r="L199" s="454"/>
      <c r="M199" s="454"/>
      <c r="N199" s="454"/>
      <c r="O199" s="454"/>
      <c r="P199" s="455"/>
      <c r="Q199"/>
      <c r="R199"/>
      <c r="S199"/>
    </row>
    <row r="200" spans="9:19" ht="16.5" thickBot="1">
      <c r="I200" s="130"/>
      <c r="J200" s="151"/>
      <c r="K200" s="151"/>
      <c r="L200" s="151"/>
      <c r="M200" s="151"/>
      <c r="N200" s="151"/>
      <c r="O200" s="151"/>
      <c r="P200" s="151"/>
      <c r="Q200"/>
      <c r="R200"/>
      <c r="S200"/>
    </row>
    <row r="201" spans="9:19" ht="63.75" thickBot="1">
      <c r="I201" s="100" t="s">
        <v>448</v>
      </c>
      <c r="J201" s="433" t="s">
        <v>217</v>
      </c>
      <c r="K201" s="433" t="s">
        <v>591</v>
      </c>
      <c r="L201" s="433" t="s">
        <v>218</v>
      </c>
      <c r="M201" s="449" t="s">
        <v>282</v>
      </c>
      <c r="N201" s="449" t="s">
        <v>265</v>
      </c>
      <c r="O201" s="449" t="s">
        <v>219</v>
      </c>
      <c r="P201" s="450" t="s">
        <v>596</v>
      </c>
      <c r="Q201"/>
      <c r="R201"/>
      <c r="S201"/>
    </row>
    <row r="202" spans="9:19">
      <c r="I202" s="217" t="s">
        <v>14</v>
      </c>
      <c r="J202" s="253">
        <f>SUMPRODUCT(--('Current Strategy'!$G$175:$G$188=I202),'Current Strategy'!$K$175:$K$188)/8</f>
        <v>0</v>
      </c>
      <c r="K202" s="253">
        <f t="shared" ref="K202:K222" si="34">J202+L202</f>
        <v>0</v>
      </c>
      <c r="L202" s="253">
        <f>SUMPRODUCT(--('Expanded Contact Investigaton'!$G$147:$G$153=I202),'Expanded Contact Investigaton'!$K$147:$K$153)/8</f>
        <v>0</v>
      </c>
      <c r="M202" s="253">
        <f>SUMPRODUCT(--('Testing CHW LTCF Employees+Res'!$G$224:$G$239=I202),'Testing CHW LTCF Employees+Res'!$K$224:$K$239)/8</f>
        <v>0</v>
      </c>
      <c r="N202" s="253">
        <f>SUMPRODUCT(--('Testing Hospital Employees'!$G$212:$G$227=I202),'Testing Hospital Employees'!$K$212:$K$227)/8</f>
        <v>0</v>
      </c>
      <c r="O202" s="253">
        <f>SUMPRODUCT(--('Testing Essential Workers'!$G$224:$G$238=I202),'Testing Essential Workers'!$K$224:$K$238)/8</f>
        <v>0</v>
      </c>
      <c r="P202" s="253">
        <f>SUMPRODUCT(--('Testing Schoolchildren &amp; Staff'!$G$224:$G$238=I202),'Testing Schoolchildren &amp; Staff'!$K$224:$K$238)/8</f>
        <v>0</v>
      </c>
      <c r="Q202"/>
      <c r="R202"/>
      <c r="S202"/>
    </row>
    <row r="203" spans="9:19">
      <c r="I203" s="217" t="s">
        <v>17</v>
      </c>
      <c r="J203" s="246">
        <f>SUMPRODUCT(--('Current Strategy'!$G$175:$G$188=I203),'Current Strategy'!$K$175:$K$188)/8</f>
        <v>0</v>
      </c>
      <c r="K203" s="246">
        <f t="shared" si="34"/>
        <v>0</v>
      </c>
      <c r="L203" s="246">
        <f>SUMPRODUCT(--('Expanded Contact Investigaton'!$G$147:$G$153=I203),'Expanded Contact Investigaton'!$K$147:$K$153)/8</f>
        <v>0</v>
      </c>
      <c r="M203" s="246">
        <f>SUMPRODUCT(--('Testing CHW LTCF Employees+Res'!$G$224:$G$239=I203),'Testing CHW LTCF Employees+Res'!$K$224:$K$239)/8</f>
        <v>0</v>
      </c>
      <c r="N203" s="246">
        <f>SUMPRODUCT(--('Testing Hospital Employees'!$G$212:$G$227=I203),'Testing Hospital Employees'!$K$212:$K$227)/8</f>
        <v>0</v>
      </c>
      <c r="O203" s="246">
        <f>SUMPRODUCT(--('Testing Essential Workers'!$G$224:$G$238=I203),'Testing Essential Workers'!$K$224:$K$238)/8</f>
        <v>0</v>
      </c>
      <c r="P203" s="246">
        <f>SUMPRODUCT(--('Testing Schoolchildren &amp; Staff'!$G$224:$G$238=I203),'Testing Schoolchildren &amp; Staff'!$K$224:$K$238)/8</f>
        <v>0</v>
      </c>
      <c r="Q203"/>
      <c r="R203"/>
      <c r="S203"/>
    </row>
    <row r="204" spans="9:19">
      <c r="I204" s="217" t="s">
        <v>12</v>
      </c>
      <c r="J204" s="246">
        <f>SUMPRODUCT(--('Current Strategy'!$G$175:$G$188=I204),'Current Strategy'!$K$175:$K$188)/8</f>
        <v>0</v>
      </c>
      <c r="K204" s="246">
        <f t="shared" si="34"/>
        <v>0</v>
      </c>
      <c r="L204" s="246">
        <f>SUMPRODUCT(--('Expanded Contact Investigaton'!$G$147:$G$153=I204),'Expanded Contact Investigaton'!$K$147:$K$153)/8</f>
        <v>0</v>
      </c>
      <c r="M204" s="246">
        <f>SUMPRODUCT(--('Testing CHW LTCF Employees+Res'!$G$224:$G$239=I204),'Testing CHW LTCF Employees+Res'!$K$224:$K$239)/8</f>
        <v>0</v>
      </c>
      <c r="N204" s="246">
        <f>SUMPRODUCT(--('Testing Hospital Employees'!$G$212:$G$227=I204),'Testing Hospital Employees'!$K$212:$K$227)/8</f>
        <v>0</v>
      </c>
      <c r="O204" s="246">
        <f>SUMPRODUCT(--('Testing Essential Workers'!$G$224:$G$238=I204),'Testing Essential Workers'!$K$224:$K$238)/8</f>
        <v>0</v>
      </c>
      <c r="P204" s="246">
        <f>SUMPRODUCT(--('Testing Schoolchildren &amp; Staff'!$G$224:$G$238=I204),'Testing Schoolchildren &amp; Staff'!$K$224:$K$238)/8</f>
        <v>0</v>
      </c>
      <c r="Q204"/>
      <c r="R204"/>
      <c r="S204"/>
    </row>
    <row r="205" spans="9:19" ht="20.100000000000001" customHeight="1">
      <c r="I205" s="217" t="s">
        <v>13</v>
      </c>
      <c r="J205" s="246">
        <f>SUMPRODUCT(--('Current Strategy'!$G$175:$G$188=I205),'Current Strategy'!$K$175:$K$188)/8</f>
        <v>0</v>
      </c>
      <c r="K205" s="246">
        <f t="shared" si="34"/>
        <v>0</v>
      </c>
      <c r="L205" s="246">
        <f>SUMPRODUCT(--('Expanded Contact Investigaton'!$G$147:$G$153=I205),'Expanded Contact Investigaton'!$K$147:$K$153)/8</f>
        <v>0</v>
      </c>
      <c r="M205" s="246">
        <f>SUMPRODUCT(--('Testing CHW LTCF Employees+Res'!$G$224:$G$239=I205),'Testing CHW LTCF Employees+Res'!$K$224:$K$239)/8</f>
        <v>0</v>
      </c>
      <c r="N205" s="246">
        <f>SUMPRODUCT(--('Testing Hospital Employees'!$G$212:$G$227=I205),'Testing Hospital Employees'!$K$212:$K$227)/8</f>
        <v>0</v>
      </c>
      <c r="O205" s="246">
        <f>SUMPRODUCT(--('Testing Essential Workers'!$G$224:$G$238=I205),'Testing Essential Workers'!$K$224:$K$238)/8</f>
        <v>0</v>
      </c>
      <c r="P205" s="246">
        <f>SUMPRODUCT(--('Testing Schoolchildren &amp; Staff'!$G$224:$G$238=I205),'Testing Schoolchildren &amp; Staff'!$K$224:$K$238)/8</f>
        <v>0</v>
      </c>
      <c r="Q205"/>
      <c r="R205"/>
      <c r="S205"/>
    </row>
    <row r="206" spans="9:19">
      <c r="I206" s="217" t="s">
        <v>27</v>
      </c>
      <c r="J206" s="246">
        <f>SUMPRODUCT(--('Current Strategy'!$G$175:$G$188=I206),'Current Strategy'!$K$175:$K$188)/8</f>
        <v>0</v>
      </c>
      <c r="K206" s="246">
        <f t="shared" si="34"/>
        <v>0</v>
      </c>
      <c r="L206" s="246">
        <f>SUMPRODUCT(--('Expanded Contact Investigaton'!$G$147:$G$153=I206),'Expanded Contact Investigaton'!$K$147:$K$153)/8</f>
        <v>0</v>
      </c>
      <c r="M206" s="246">
        <f>SUMPRODUCT(--('Testing CHW LTCF Employees+Res'!$G$224:$G$239=I206),'Testing CHW LTCF Employees+Res'!$K$224:$K$239)/8</f>
        <v>0</v>
      </c>
      <c r="N206" s="246">
        <f>SUMPRODUCT(--('Testing Hospital Employees'!$G$212:$G$227=I206),'Testing Hospital Employees'!$K$212:$K$227)/8</f>
        <v>0</v>
      </c>
      <c r="O206" s="246">
        <f>SUMPRODUCT(--('Testing Essential Workers'!$G$224:$G$238=I206),'Testing Essential Workers'!$K$224:$K$238)/8</f>
        <v>0</v>
      </c>
      <c r="P206" s="246">
        <f>SUMPRODUCT(--('Testing Schoolchildren &amp; Staff'!$G$224:$G$238=I206),'Testing Schoolchildren &amp; Staff'!$K$224:$K$238)/8</f>
        <v>0</v>
      </c>
      <c r="Q206"/>
      <c r="R206"/>
      <c r="S206"/>
    </row>
    <row r="207" spans="9:19">
      <c r="I207" s="217" t="s">
        <v>6</v>
      </c>
      <c r="J207" s="246">
        <f>SUMPRODUCT(--('Current Strategy'!$G$175:$G$188=I207),'Current Strategy'!$K$175:$K$188)/8</f>
        <v>0</v>
      </c>
      <c r="K207" s="246">
        <f t="shared" si="34"/>
        <v>0</v>
      </c>
      <c r="L207" s="246">
        <f>SUMPRODUCT(--('Expanded Contact Investigaton'!$G$147:$G$153=I207),'Expanded Contact Investigaton'!$K$147:$K$153)/8</f>
        <v>0</v>
      </c>
      <c r="M207" s="246">
        <f>SUMPRODUCT(--('Testing CHW LTCF Employees+Res'!$G$224:$G$239=I207),'Testing CHW LTCF Employees+Res'!$K$224:$K$239)/8</f>
        <v>0</v>
      </c>
      <c r="N207" s="246">
        <f>SUMPRODUCT(--('Testing Hospital Employees'!$G$212:$G$227=I207),'Testing Hospital Employees'!$K$212:$K$227)/8</f>
        <v>0</v>
      </c>
      <c r="O207" s="246">
        <f>SUMPRODUCT(--('Testing Essential Workers'!$G$224:$G$238=I207),'Testing Essential Workers'!$K$224:$K$238)/8</f>
        <v>0</v>
      </c>
      <c r="P207" s="246">
        <f>SUMPRODUCT(--('Testing Schoolchildren &amp; Staff'!$G$224:$G$238=I207),'Testing Schoolchildren &amp; Staff'!$K$224:$K$238)/8</f>
        <v>0</v>
      </c>
      <c r="Q207"/>
      <c r="R207"/>
      <c r="S207"/>
    </row>
    <row r="208" spans="9:19">
      <c r="I208" s="217" t="s">
        <v>21</v>
      </c>
      <c r="J208" s="246">
        <f>SUMPRODUCT(--('Current Strategy'!$G$175:$G$188=I208),'Current Strategy'!$K$175:$K$188)/8</f>
        <v>0.7945663844982146</v>
      </c>
      <c r="K208" s="246">
        <f t="shared" si="34"/>
        <v>0.99659813052996071</v>
      </c>
      <c r="L208" s="246">
        <f>SUMPRODUCT(--('Expanded Contact Investigaton'!$G$147:$G$153=I208),'Expanded Contact Investigaton'!$K$147:$K$153)/8</f>
        <v>0.20203174603174606</v>
      </c>
      <c r="M208" s="246">
        <f>SUMPRODUCT(--('Testing CHW LTCF Employees+Res'!$G$224:$G$239=I208),'Testing CHW LTCF Employees+Res'!$K$224:$K$239)/8</f>
        <v>9.2698864178846457E-2</v>
      </c>
      <c r="N208" s="246">
        <f>SUMPRODUCT(--('Testing Hospital Employees'!$G$212:$G$227=I208),'Testing Hospital Employees'!$K$212:$K$227)/8</f>
        <v>1.2353951859700547E-2</v>
      </c>
      <c r="O208" s="246">
        <f>SUMPRODUCT(--('Testing Essential Workers'!$G$224:$G$238=I208),'Testing Essential Workers'!$K$224:$K$238)/8</f>
        <v>3.1101213224635993</v>
      </c>
      <c r="P208" s="246">
        <f>SUMPRODUCT(--('Testing Schoolchildren &amp; Staff'!$G$224:$G$238=I208),'Testing Schoolchildren &amp; Staff'!$K$224:$K$238)/8</f>
        <v>0.34564064308599518</v>
      </c>
      <c r="Q208"/>
      <c r="R208"/>
      <c r="S208"/>
    </row>
    <row r="209" spans="9:19">
      <c r="I209" s="221" t="s">
        <v>386</v>
      </c>
      <c r="J209" s="246">
        <f>SUMPRODUCT(--('Current Strategy'!$G$175:$G$188=I209),'Current Strategy'!$K$175:$K$188)/8</f>
        <v>0</v>
      </c>
      <c r="K209" s="246">
        <f t="shared" si="34"/>
        <v>0</v>
      </c>
      <c r="L209" s="246">
        <f>SUMPRODUCT(--('Expanded Contact Investigaton'!$G$147:$G$153=I209),'Expanded Contact Investigaton'!$K$147:$K$153)/8</f>
        <v>0</v>
      </c>
      <c r="M209" s="246">
        <f>SUMPRODUCT(--('Testing CHW LTCF Employees+Res'!$G$224:$G$239=I209),'Testing CHW LTCF Employees+Res'!$K$224:$K$239)/8</f>
        <v>0</v>
      </c>
      <c r="N209" s="246">
        <f>SUMPRODUCT(--('Testing Hospital Employees'!$G$212:$G$227=I209),'Testing Hospital Employees'!$K$212:$K$227)/8</f>
        <v>0</v>
      </c>
      <c r="O209" s="246">
        <f>SUMPRODUCT(--('Testing Essential Workers'!$G$224:$G$238=I209),'Testing Essential Workers'!$K$224:$K$238)/8</f>
        <v>0</v>
      </c>
      <c r="P209" s="246">
        <f>SUMPRODUCT(--('Testing Schoolchildren &amp; Staff'!$G$224:$G$238=I209),'Testing Schoolchildren &amp; Staff'!$K$224:$K$238)/8</f>
        <v>0</v>
      </c>
      <c r="Q209"/>
      <c r="R209"/>
      <c r="S209"/>
    </row>
    <row r="210" spans="9:19">
      <c r="I210" s="217" t="s">
        <v>325</v>
      </c>
      <c r="J210" s="246">
        <f>SUMPRODUCT(--('Current Strategy'!$G$175:$G$188=I210),'Current Strategy'!$K$175:$K$188)/8</f>
        <v>0</v>
      </c>
      <c r="K210" s="246">
        <f t="shared" si="34"/>
        <v>0</v>
      </c>
      <c r="L210" s="246">
        <f>SUMPRODUCT(--('Expanded Contact Investigaton'!$G$147:$G$153=I210),'Expanded Contact Investigaton'!$K$147:$K$153)/8</f>
        <v>0</v>
      </c>
      <c r="M210" s="246">
        <f>SUMPRODUCT(--('Testing CHW LTCF Employees+Res'!$G$224:$G$239=I210),'Testing CHW LTCF Employees+Res'!$K$224:$K$239)/8</f>
        <v>0</v>
      </c>
      <c r="N210" s="246">
        <f>SUMPRODUCT(--('Testing Hospital Employees'!$G$212:$G$227=I210),'Testing Hospital Employees'!$K$212:$K$227)/8</f>
        <v>0</v>
      </c>
      <c r="O210" s="246">
        <f>SUMPRODUCT(--('Testing Essential Workers'!$G$224:$G$238=I210),'Testing Essential Workers'!$K$224:$K$238)/8</f>
        <v>0</v>
      </c>
      <c r="P210" s="246">
        <f>SUMPRODUCT(--('Testing Schoolchildren &amp; Staff'!$G$224:$G$238=I210),'Testing Schoolchildren &amp; Staff'!$K$224:$K$238)/8</f>
        <v>0</v>
      </c>
      <c r="Q210"/>
      <c r="R210"/>
      <c r="S210"/>
    </row>
    <row r="211" spans="9:19">
      <c r="I211" s="217" t="s">
        <v>31</v>
      </c>
      <c r="J211" s="246">
        <f>SUMPRODUCT(--('Current Strategy'!$G$175:$G$188=I211),'Current Strategy'!$K$175:$K$188)/8</f>
        <v>0</v>
      </c>
      <c r="K211" s="246">
        <f t="shared" si="34"/>
        <v>0</v>
      </c>
      <c r="L211" s="246">
        <f>SUMPRODUCT(--('Expanded Contact Investigaton'!$G$147:$G$153=I211),'Expanded Contact Investigaton'!$K$147:$K$153)/8</f>
        <v>0</v>
      </c>
      <c r="M211" s="246">
        <f>SUMPRODUCT(--('Testing CHW LTCF Employees+Res'!$G$224:$G$239=I211),'Testing CHW LTCF Employees+Res'!$K$224:$K$239)/8</f>
        <v>0</v>
      </c>
      <c r="N211" s="246">
        <f>SUMPRODUCT(--('Testing Hospital Employees'!$G$212:$G$227=I211),'Testing Hospital Employees'!$K$212:$K$227)/8</f>
        <v>0</v>
      </c>
      <c r="O211" s="246">
        <f>SUMPRODUCT(--('Testing Essential Workers'!$G$224:$G$238=I211),'Testing Essential Workers'!$K$224:$K$238)/8</f>
        <v>0</v>
      </c>
      <c r="P211" s="246">
        <f>SUMPRODUCT(--('Testing Schoolchildren &amp; Staff'!$G$224:$G$238=I211),'Testing Schoolchildren &amp; Staff'!$K$224:$K$238)/8</f>
        <v>0</v>
      </c>
      <c r="Q211"/>
      <c r="R211"/>
      <c r="S211"/>
    </row>
    <row r="212" spans="9:19">
      <c r="I212" s="217" t="s">
        <v>40</v>
      </c>
      <c r="J212" s="246">
        <f>SUMPRODUCT(--('Current Strategy'!$G$175:$G$188=I212),'Current Strategy'!$K$175:$K$188)/8</f>
        <v>0</v>
      </c>
      <c r="K212" s="246">
        <f t="shared" si="34"/>
        <v>0</v>
      </c>
      <c r="L212" s="246">
        <f>SUMPRODUCT(--('Expanded Contact Investigaton'!$G$147:$G$153=I212),'Expanded Contact Investigaton'!$K$147:$K$153)/8</f>
        <v>0</v>
      </c>
      <c r="M212" s="246">
        <f>SUMPRODUCT(--('Testing CHW LTCF Employees+Res'!$G$224:$G$239=I212),'Testing CHW LTCF Employees+Res'!$K$224:$K$239)/8</f>
        <v>0</v>
      </c>
      <c r="N212" s="246">
        <f>SUMPRODUCT(--('Testing Hospital Employees'!$G$212:$G$227=I212),'Testing Hospital Employees'!$K$212:$K$227)/8</f>
        <v>0</v>
      </c>
      <c r="O212" s="246">
        <f>SUMPRODUCT(--('Testing Essential Workers'!$G$224:$G$238=I212),'Testing Essential Workers'!$K$224:$K$238)/8</f>
        <v>0</v>
      </c>
      <c r="P212" s="246">
        <f>SUMPRODUCT(--('Testing Schoolchildren &amp; Staff'!$G$224:$G$238=I212),'Testing Schoolchildren &amp; Staff'!$K$224:$K$238)/8</f>
        <v>0</v>
      </c>
      <c r="Q212"/>
      <c r="R212"/>
      <c r="S212"/>
    </row>
    <row r="213" spans="9:19">
      <c r="I213" s="217" t="s">
        <v>449</v>
      </c>
      <c r="J213" s="246">
        <f>SUMPRODUCT(--('Current Strategy'!$G$175:$G$188=I213),'Current Strategy'!$K$175:$K$188)/8</f>
        <v>0</v>
      </c>
      <c r="K213" s="246">
        <f t="shared" si="34"/>
        <v>0</v>
      </c>
      <c r="L213" s="246">
        <f>SUMPRODUCT(--('Expanded Contact Investigaton'!$G$147:$G$153=I213),'Expanded Contact Investigaton'!$K$147:$K$153)/8</f>
        <v>0</v>
      </c>
      <c r="M213" s="246">
        <f>SUMPRODUCT(--('Testing CHW LTCF Employees+Res'!$G$224:$G$239=I213),'Testing CHW LTCF Employees+Res'!$K$224:$K$239)/8</f>
        <v>0</v>
      </c>
      <c r="N213" s="246">
        <f>SUMPRODUCT(--('Testing Hospital Employees'!$G$212:$G$227=I213),'Testing Hospital Employees'!$K$212:$K$227)/8</f>
        <v>0</v>
      </c>
      <c r="O213" s="246">
        <f>SUMPRODUCT(--('Testing Essential Workers'!$G$224:$G$238=I213),'Testing Essential Workers'!$K$224:$K$238)/8</f>
        <v>0</v>
      </c>
      <c r="P213" s="246">
        <f>SUMPRODUCT(--('Testing Schoolchildren &amp; Staff'!$G$224:$G$238=I213),'Testing Schoolchildren &amp; Staff'!$K$224:$K$238)/8</f>
        <v>0</v>
      </c>
      <c r="Q213"/>
      <c r="R213"/>
      <c r="S213"/>
    </row>
    <row r="214" spans="9:19" ht="20.100000000000001" customHeight="1">
      <c r="I214" s="217" t="s">
        <v>323</v>
      </c>
      <c r="J214" s="246">
        <f>SUMPRODUCT(--('Current Strategy'!$G$175:$G$188=I214),'Current Strategy'!$K$175:$K$188)/8</f>
        <v>0</v>
      </c>
      <c r="K214" s="246">
        <f t="shared" si="34"/>
        <v>0</v>
      </c>
      <c r="L214" s="246">
        <f>SUMPRODUCT(--('Expanded Contact Investigaton'!$G$147:$G$153=I214),'Expanded Contact Investigaton'!$K$147:$K$153)/8</f>
        <v>0</v>
      </c>
      <c r="M214" s="246">
        <f>SUMPRODUCT(--('Testing CHW LTCF Employees+Res'!$G$224:$G$239=I214),'Testing CHW LTCF Employees+Res'!$K$224:$K$239)/8</f>
        <v>0</v>
      </c>
      <c r="N214" s="246">
        <f>SUMPRODUCT(--('Testing Hospital Employees'!$G$212:$G$227=I214),'Testing Hospital Employees'!$K$212:$K$227)/8</f>
        <v>0</v>
      </c>
      <c r="O214" s="246">
        <f>SUMPRODUCT(--('Testing Essential Workers'!$G$224:$G$238=I214),'Testing Essential Workers'!$K$224:$K$238)/8</f>
        <v>0</v>
      </c>
      <c r="P214" s="246">
        <f>SUMPRODUCT(--('Testing Schoolchildren &amp; Staff'!$G$224:$G$238=I214),'Testing Schoolchildren &amp; Staff'!$K$224:$K$238)/8</f>
        <v>0</v>
      </c>
      <c r="Q214"/>
      <c r="R214"/>
      <c r="S214"/>
    </row>
    <row r="215" spans="9:19">
      <c r="I215" s="217" t="s">
        <v>354</v>
      </c>
      <c r="J215" s="246">
        <f>SUMPRODUCT(--('Current Strategy'!$G$175:$G$188=I215),'Current Strategy'!$K$175:$K$188)/8</f>
        <v>0</v>
      </c>
      <c r="K215" s="246">
        <f t="shared" si="34"/>
        <v>0</v>
      </c>
      <c r="L215" s="246">
        <f>SUMPRODUCT(--('Expanded Contact Investigaton'!$G$147:$G$153=I215),'Expanded Contact Investigaton'!$K$147:$K$153)/8</f>
        <v>0</v>
      </c>
      <c r="M215" s="246">
        <f>SUMPRODUCT(--('Testing CHW LTCF Employees+Res'!$G$224:$G$239=I215),'Testing CHW LTCF Employees+Res'!$K$224:$K$239)/8</f>
        <v>0</v>
      </c>
      <c r="N215" s="246">
        <f>SUMPRODUCT(--('Testing Hospital Employees'!$G$212:$G$227=I215),'Testing Hospital Employees'!$K$212:$K$227)/8</f>
        <v>0</v>
      </c>
      <c r="O215" s="246">
        <f>SUMPRODUCT(--('Testing Essential Workers'!$G$224:$G$238=I215),'Testing Essential Workers'!$K$224:$K$238)/8</f>
        <v>0</v>
      </c>
      <c r="P215" s="246">
        <f>SUMPRODUCT(--('Testing Schoolchildren &amp; Staff'!$G$224:$G$238=I215),'Testing Schoolchildren &amp; Staff'!$K$224:$K$238)/8</f>
        <v>0</v>
      </c>
      <c r="Q215"/>
      <c r="R215"/>
      <c r="S215"/>
    </row>
    <row r="216" spans="9:19">
      <c r="I216" s="217" t="s">
        <v>32</v>
      </c>
      <c r="J216" s="246">
        <f>SUMPRODUCT(--('Current Strategy'!$G$175:$G$188=I216),'Current Strategy'!$K$175:$K$188)/8</f>
        <v>0</v>
      </c>
      <c r="K216" s="246">
        <f t="shared" si="34"/>
        <v>0</v>
      </c>
      <c r="L216" s="246">
        <f>SUMPRODUCT(--('Expanded Contact Investigaton'!$G$147:$G$153=I216),'Expanded Contact Investigaton'!$K$147:$K$153)/8</f>
        <v>0</v>
      </c>
      <c r="M216" s="246">
        <f>SUMPRODUCT(--('Testing CHW LTCF Employees+Res'!$G$224:$G$239=I216),'Testing CHW LTCF Employees+Res'!$K$224:$K$239)/8</f>
        <v>0</v>
      </c>
      <c r="N216" s="246">
        <f>SUMPRODUCT(--('Testing Hospital Employees'!$G$212:$G$227=I216),'Testing Hospital Employees'!$K$212:$K$227)/8</f>
        <v>0</v>
      </c>
      <c r="O216" s="246">
        <f>SUMPRODUCT(--('Testing Essential Workers'!$G$224:$G$238=I216),'Testing Essential Workers'!$K$224:$K$238)/8</f>
        <v>0</v>
      </c>
      <c r="P216" s="246">
        <f>SUMPRODUCT(--('Testing Schoolchildren &amp; Staff'!$G$224:$G$238=I216),'Testing Schoolchildren &amp; Staff'!$K$224:$K$238)/8</f>
        <v>0</v>
      </c>
      <c r="Q216"/>
      <c r="R216"/>
      <c r="S216"/>
    </row>
    <row r="217" spans="9:19">
      <c r="I217" s="217" t="s">
        <v>33</v>
      </c>
      <c r="J217" s="246">
        <f>SUMPRODUCT(--('Current Strategy'!$G$175:$G$188=I217),'Current Strategy'!$K$175:$K$188)/8</f>
        <v>0</v>
      </c>
      <c r="K217" s="246">
        <f t="shared" si="34"/>
        <v>0</v>
      </c>
      <c r="L217" s="246">
        <f>SUMPRODUCT(--('Expanded Contact Investigaton'!$G$147:$G$153=I217),'Expanded Contact Investigaton'!$K$147:$K$153)/8</f>
        <v>0</v>
      </c>
      <c r="M217" s="246">
        <f>SUMPRODUCT(--('Testing CHW LTCF Employees+Res'!$G$224:$G$239=I217),'Testing CHW LTCF Employees+Res'!$K$224:$K$239)/8</f>
        <v>0</v>
      </c>
      <c r="N217" s="246">
        <f>SUMPRODUCT(--('Testing Hospital Employees'!$G$212:$G$227=I217),'Testing Hospital Employees'!$K$212:$K$227)/8</f>
        <v>0</v>
      </c>
      <c r="O217" s="246">
        <f>SUMPRODUCT(--('Testing Essential Workers'!$G$224:$G$238=I217),'Testing Essential Workers'!$K$224:$K$238)/8</f>
        <v>0</v>
      </c>
      <c r="P217" s="246">
        <f>SUMPRODUCT(--('Testing Schoolchildren &amp; Staff'!$G$224:$G$238=I217),'Testing Schoolchildren &amp; Staff'!$K$224:$K$238)/8</f>
        <v>0</v>
      </c>
      <c r="Q217"/>
      <c r="R217"/>
      <c r="S217"/>
    </row>
    <row r="218" spans="9:19">
      <c r="I218" s="217" t="s">
        <v>34</v>
      </c>
      <c r="J218" s="246">
        <f>SUMPRODUCT(--('Current Strategy'!$G$175:$G$188=I218),'Current Strategy'!$K$175:$K$188)/8</f>
        <v>0</v>
      </c>
      <c r="K218" s="246">
        <f t="shared" si="34"/>
        <v>0</v>
      </c>
      <c r="L218" s="246">
        <f>SUMPRODUCT(--('Expanded Contact Investigaton'!$G$147:$G$153=I218),'Expanded Contact Investigaton'!$K$147:$K$153)/8</f>
        <v>0</v>
      </c>
      <c r="M218" s="246">
        <f>SUMPRODUCT(--('Testing CHW LTCF Employees+Res'!$G$224:$G$239=I218),'Testing CHW LTCF Employees+Res'!$K$224:$K$239)/8</f>
        <v>0</v>
      </c>
      <c r="N218" s="246">
        <f>SUMPRODUCT(--('Testing Hospital Employees'!$G$212:$G$227=I218),'Testing Hospital Employees'!$K$212:$K$227)/8</f>
        <v>0</v>
      </c>
      <c r="O218" s="246">
        <f>SUMPRODUCT(--('Testing Essential Workers'!$G$224:$G$238=I218),'Testing Essential Workers'!$K$224:$K$238)/8</f>
        <v>0</v>
      </c>
      <c r="P218" s="246">
        <f>SUMPRODUCT(--('Testing Schoolchildren &amp; Staff'!$G$224:$G$238=I218),'Testing Schoolchildren &amp; Staff'!$K$224:$K$238)/8</f>
        <v>0</v>
      </c>
      <c r="Q218"/>
      <c r="R218"/>
      <c r="S218"/>
    </row>
    <row r="219" spans="9:19">
      <c r="I219" s="217" t="s">
        <v>450</v>
      </c>
      <c r="J219" s="246">
        <f>SUMPRODUCT(--('Current Strategy'!$G$175:$G$188=I219),'Current Strategy'!$K$175:$K$188)/8</f>
        <v>0</v>
      </c>
      <c r="K219" s="246">
        <f t="shared" si="34"/>
        <v>0</v>
      </c>
      <c r="L219" s="246">
        <f>SUMPRODUCT(--('Expanded Contact Investigaton'!$G$147:$G$153=I219),'Expanded Contact Investigaton'!$K$147:$K$153)/8</f>
        <v>0</v>
      </c>
      <c r="M219" s="246">
        <f>SUMPRODUCT(--('Testing CHW LTCF Employees+Res'!$G$224:$G$239=I219),'Testing CHW LTCF Employees+Res'!$K$224:$K$239)/8</f>
        <v>0</v>
      </c>
      <c r="N219" s="246">
        <f>SUMPRODUCT(--('Testing Hospital Employees'!$G$212:$G$227=I219),'Testing Hospital Employees'!$K$212:$K$227)/8</f>
        <v>0</v>
      </c>
      <c r="O219" s="246">
        <f>SUMPRODUCT(--('Testing Essential Workers'!$G$224:$G$238=I219),'Testing Essential Workers'!$K$224:$K$238)/8</f>
        <v>0</v>
      </c>
      <c r="P219" s="246">
        <f>SUMPRODUCT(--('Testing Schoolchildren &amp; Staff'!$G$224:$G$238=I219),'Testing Schoolchildren &amp; Staff'!$K$224:$K$238)/8</f>
        <v>0</v>
      </c>
      <c r="Q219"/>
      <c r="R219"/>
      <c r="S219"/>
    </row>
    <row r="220" spans="9:19">
      <c r="I220" s="217" t="s">
        <v>180</v>
      </c>
      <c r="J220" s="246">
        <f>SUMPRODUCT(--('Current Strategy'!$G$175:$G$188=I220),'Current Strategy'!$K$175:$K$188)/8</f>
        <v>0</v>
      </c>
      <c r="K220" s="246">
        <f t="shared" si="34"/>
        <v>0</v>
      </c>
      <c r="L220" s="246">
        <f>SUMPRODUCT(--('Expanded Contact Investigaton'!$G$147:$G$153=I220),'Expanded Contact Investigaton'!$K$147:$K$153)/8</f>
        <v>0</v>
      </c>
      <c r="M220" s="246">
        <f>SUMPRODUCT(--('Testing CHW LTCF Employees+Res'!$G$224:$G$239=I220),'Testing CHW LTCF Employees+Res'!$K$224:$K$239)/8</f>
        <v>0</v>
      </c>
      <c r="N220" s="246">
        <f>SUMPRODUCT(--('Testing Hospital Employees'!$G$212:$G$227=I220),'Testing Hospital Employees'!$K$212:$K$227)/8</f>
        <v>0</v>
      </c>
      <c r="O220" s="246">
        <f>SUMPRODUCT(--('Testing Essential Workers'!$G$224:$G$238=I220),'Testing Essential Workers'!$K$224:$K$238)/8</f>
        <v>0</v>
      </c>
      <c r="P220" s="246">
        <f>SUMPRODUCT(--('Testing Schoolchildren &amp; Staff'!$G$224:$G$238=I220),'Testing Schoolchildren &amp; Staff'!$K$224:$K$238)/8</f>
        <v>0</v>
      </c>
      <c r="Q220"/>
      <c r="R220"/>
      <c r="S220"/>
    </row>
    <row r="221" spans="9:19" ht="20.100000000000001" customHeight="1">
      <c r="I221" s="217" t="s">
        <v>353</v>
      </c>
      <c r="J221" s="246">
        <f>SUMPRODUCT(--('Current Strategy'!$G$175:$G$188=I221),'Current Strategy'!$K$175:$K$188)/8</f>
        <v>0</v>
      </c>
      <c r="K221" s="246">
        <f t="shared" si="34"/>
        <v>0</v>
      </c>
      <c r="L221" s="246">
        <f>SUMPRODUCT(--('Expanded Contact Investigaton'!$G$147:$G$153=I221),'Expanded Contact Investigaton'!$K$147:$K$153)/8</f>
        <v>0</v>
      </c>
      <c r="M221" s="246">
        <f>SUMPRODUCT(--('Testing CHW LTCF Employees+Res'!$G$224:$G$239=I221),'Testing CHW LTCF Employees+Res'!$K$224:$K$239)/8</f>
        <v>0</v>
      </c>
      <c r="N221" s="246">
        <f>SUMPRODUCT(--('Testing Hospital Employees'!$G$212:$G$227=I221),'Testing Hospital Employees'!$K$212:$K$227)/8</f>
        <v>0</v>
      </c>
      <c r="O221" s="246">
        <f>SUMPRODUCT(--('Testing Essential Workers'!$G$224:$G$238=I221),'Testing Essential Workers'!$K$224:$K$238)/8</f>
        <v>0</v>
      </c>
      <c r="P221" s="246">
        <f>SUMPRODUCT(--('Testing Schoolchildren &amp; Staff'!$G$224:$G$238=I221),'Testing Schoolchildren &amp; Staff'!$K$224:$K$238)/8</f>
        <v>0</v>
      </c>
      <c r="Q221"/>
      <c r="R221"/>
      <c r="S221"/>
    </row>
    <row r="222" spans="9:19" ht="16.5" thickBot="1">
      <c r="I222" s="224" t="s">
        <v>230</v>
      </c>
      <c r="J222" s="247">
        <f>SUMPRODUCT(--('Current Strategy'!$G$175:$G$188=I222),'Current Strategy'!$K$175:$K$188)/8</f>
        <v>0</v>
      </c>
      <c r="K222" s="247">
        <f t="shared" si="34"/>
        <v>0</v>
      </c>
      <c r="L222" s="247">
        <f>SUMPRODUCT(--('Expanded Contact Investigaton'!$G$147:$G$153=I222),'Expanded Contact Investigaton'!$K$147:$K$153)/8</f>
        <v>0</v>
      </c>
      <c r="M222" s="247">
        <f>SUMPRODUCT(--('Testing CHW LTCF Employees+Res'!$G$224:$G$239=I222),'Testing CHW LTCF Employees+Res'!$K$224:$K$239)/8</f>
        <v>0</v>
      </c>
      <c r="N222" s="247">
        <f>SUMPRODUCT(--('Testing Hospital Employees'!$G$212:$G$227=I222),'Testing Hospital Employees'!$K$212:$K$227)/8</f>
        <v>0</v>
      </c>
      <c r="O222" s="247">
        <f>SUMPRODUCT(--('Testing Essential Workers'!$G$224:$G$238=I222),'Testing Essential Workers'!$K$224:$K$238)/8</f>
        <v>0</v>
      </c>
      <c r="P222" s="247">
        <f>SUMPRODUCT(--('Testing Schoolchildren &amp; Staff'!$G$224:$G$238=I222),'Testing Schoolchildren &amp; Staff'!$K$224:$K$238)/8</f>
        <v>0</v>
      </c>
      <c r="Q222"/>
      <c r="R222"/>
      <c r="S222"/>
    </row>
    <row r="223" spans="9:19" ht="16.5" thickBot="1">
      <c r="P223"/>
      <c r="Q223"/>
      <c r="R223"/>
      <c r="S223"/>
    </row>
    <row r="224" spans="9:19" ht="20.100000000000001" customHeight="1" thickBot="1">
      <c r="I224" s="453" t="s">
        <v>484</v>
      </c>
      <c r="J224" s="454"/>
      <c r="K224" s="454"/>
      <c r="L224" s="454"/>
      <c r="M224" s="454"/>
      <c r="N224" s="454"/>
      <c r="O224" s="454"/>
      <c r="P224" s="455"/>
      <c r="Q224"/>
      <c r="R224"/>
      <c r="S224"/>
    </row>
    <row r="225" spans="9:19" ht="16.5" thickBot="1">
      <c r="P225"/>
      <c r="Q225"/>
      <c r="R225"/>
      <c r="S225"/>
    </row>
    <row r="226" spans="9:19" ht="63.75" thickBot="1">
      <c r="I226" s="100" t="s">
        <v>472</v>
      </c>
      <c r="J226" s="433" t="s">
        <v>217</v>
      </c>
      <c r="K226" s="433" t="s">
        <v>591</v>
      </c>
      <c r="L226" s="433" t="s">
        <v>218</v>
      </c>
      <c r="M226" s="449" t="s">
        <v>282</v>
      </c>
      <c r="N226" s="449" t="s">
        <v>265</v>
      </c>
      <c r="O226" s="449" t="s">
        <v>219</v>
      </c>
      <c r="P226" s="450" t="s">
        <v>596</v>
      </c>
      <c r="Q226"/>
      <c r="R226"/>
      <c r="S226"/>
    </row>
    <row r="227" spans="9:19">
      <c r="I227" t="s">
        <v>469</v>
      </c>
      <c r="J227" s="250">
        <f t="shared" ref="J227:P227" si="35">SUM(J203,J205,J207,J209,J214,J215,J219,J220,J213,J212)</f>
        <v>0</v>
      </c>
      <c r="K227" s="250">
        <f t="shared" si="35"/>
        <v>0</v>
      </c>
      <c r="L227" s="250">
        <f t="shared" si="35"/>
        <v>0</v>
      </c>
      <c r="M227" s="258">
        <f t="shared" si="35"/>
        <v>0</v>
      </c>
      <c r="N227" s="258">
        <f t="shared" si="35"/>
        <v>0</v>
      </c>
      <c r="O227" s="258">
        <f t="shared" si="35"/>
        <v>0</v>
      </c>
      <c r="P227" s="250">
        <f t="shared" si="35"/>
        <v>0</v>
      </c>
      <c r="Q227"/>
      <c r="R227"/>
      <c r="S227"/>
    </row>
    <row r="228" spans="9:19">
      <c r="I228" t="s">
        <v>470</v>
      </c>
      <c r="J228" s="250">
        <f t="shared" ref="J228:P228" si="36">SUM(J202,J221,J222)</f>
        <v>0</v>
      </c>
      <c r="K228" s="250">
        <f t="shared" si="36"/>
        <v>0</v>
      </c>
      <c r="L228" s="250">
        <f t="shared" si="36"/>
        <v>0</v>
      </c>
      <c r="M228" s="258">
        <f t="shared" si="36"/>
        <v>0</v>
      </c>
      <c r="N228" s="258">
        <f t="shared" si="36"/>
        <v>0</v>
      </c>
      <c r="O228" s="258">
        <f t="shared" si="36"/>
        <v>0</v>
      </c>
      <c r="P228" s="250">
        <f t="shared" si="36"/>
        <v>0</v>
      </c>
      <c r="Q228"/>
      <c r="R228"/>
      <c r="S228"/>
    </row>
    <row r="229" spans="9:19" ht="16.5" thickBot="1">
      <c r="I229" s="241" t="s">
        <v>471</v>
      </c>
      <c r="J229" s="251">
        <f t="shared" ref="J229:P229" si="37">SUM(J206,J211,J216,J217,J218)</f>
        <v>0</v>
      </c>
      <c r="K229" s="251">
        <f t="shared" si="37"/>
        <v>0</v>
      </c>
      <c r="L229" s="251">
        <f t="shared" si="37"/>
        <v>0</v>
      </c>
      <c r="M229" s="259">
        <f t="shared" si="37"/>
        <v>0</v>
      </c>
      <c r="N229" s="259">
        <f t="shared" si="37"/>
        <v>0</v>
      </c>
      <c r="O229" s="259">
        <f t="shared" si="37"/>
        <v>0</v>
      </c>
      <c r="P229" s="251">
        <f t="shared" si="37"/>
        <v>0</v>
      </c>
      <c r="Q229"/>
      <c r="R229"/>
      <c r="S229"/>
    </row>
    <row r="230" spans="9:19" ht="20.100000000000001" customHeight="1" thickBot="1">
      <c r="P230"/>
      <c r="Q230"/>
      <c r="R230"/>
      <c r="S230"/>
    </row>
    <row r="231" spans="9:19" ht="20.100000000000001" customHeight="1" thickBot="1">
      <c r="I231" s="459" t="s">
        <v>485</v>
      </c>
      <c r="J231" s="460"/>
      <c r="K231" s="460"/>
      <c r="L231" s="460"/>
      <c r="M231" s="460"/>
      <c r="N231" s="460"/>
      <c r="O231" s="460"/>
      <c r="P231" s="461"/>
      <c r="Q231"/>
      <c r="R231"/>
      <c r="S231"/>
    </row>
    <row r="232" spans="9:19" ht="16.5" thickBot="1">
      <c r="I232" s="130"/>
      <c r="J232" s="151"/>
      <c r="K232" s="151"/>
      <c r="L232" s="151"/>
      <c r="M232" s="151"/>
      <c r="N232" s="151"/>
      <c r="O232" s="151"/>
      <c r="P232" s="151"/>
      <c r="Q232"/>
      <c r="R232"/>
      <c r="S232"/>
    </row>
    <row r="233" spans="9:19" ht="63.75" thickBot="1">
      <c r="I233" s="100" t="s">
        <v>448</v>
      </c>
      <c r="J233" s="433" t="s">
        <v>217</v>
      </c>
      <c r="K233" s="433" t="s">
        <v>591</v>
      </c>
      <c r="L233" s="433" t="s">
        <v>218</v>
      </c>
      <c r="M233" s="449" t="s">
        <v>282</v>
      </c>
      <c r="N233" s="449" t="s">
        <v>265</v>
      </c>
      <c r="O233" s="449" t="s">
        <v>219</v>
      </c>
      <c r="P233" s="450" t="s">
        <v>596</v>
      </c>
      <c r="Q233"/>
      <c r="R233"/>
      <c r="S233"/>
    </row>
    <row r="234" spans="9:19">
      <c r="I234" s="217" t="s">
        <v>14</v>
      </c>
      <c r="J234" s="253">
        <f>SUMPRODUCT(--('Current Strategy'!$G$190:$G$287=I234),'Current Strategy'!$K$190:$K$287)/8</f>
        <v>0.95238095238095233</v>
      </c>
      <c r="K234" s="253">
        <f t="shared" ref="K234:K254" si="38">J234+L234</f>
        <v>1.9047619047619047</v>
      </c>
      <c r="L234" s="253">
        <f>SUMPRODUCT(--('Expanded Contact Investigaton'!$G$155:$G$265=I234),'Expanded Contact Investigaton'!$K$155:$K$265)/8</f>
        <v>0.95238095238095222</v>
      </c>
      <c r="M234" s="253">
        <f>SUMPRODUCT(--('Testing CHW LTCF Employees+Res'!$G$240:$G$337=I234),'Testing CHW LTCF Employees+Res'!$K$240:$K$337)/8</f>
        <v>0.95238095238095244</v>
      </c>
      <c r="N234" s="253">
        <f>SUMPRODUCT(--('Testing Hospital Employees'!$G$228:$G$325=I234),'Testing Hospital Employees'!$K$228:$K$325)/8</f>
        <v>0.95238095238095244</v>
      </c>
      <c r="O234" s="253">
        <f>SUMPRODUCT(--('Testing Essential Workers'!$G$239:$G$336=I234),'Testing Essential Workers'!$K$239:$K$336)/8</f>
        <v>0.95238095238095233</v>
      </c>
      <c r="P234" s="253">
        <f>SUMPRODUCT(--('Testing Schoolchildren &amp; Staff'!$G$239:$G$336=I234),'Testing Schoolchildren &amp; Staff'!$K$239:$K$336)/8</f>
        <v>0.95238095238095233</v>
      </c>
      <c r="Q234"/>
      <c r="R234"/>
      <c r="S234"/>
    </row>
    <row r="235" spans="9:19">
      <c r="I235" s="217" t="s">
        <v>17</v>
      </c>
      <c r="J235" s="246">
        <f>SUMPRODUCT(--('Current Strategy'!$G$190:$G$287=I235),'Current Strategy'!$K$190:$K$287)/8</f>
        <v>0</v>
      </c>
      <c r="K235" s="246">
        <f t="shared" si="38"/>
        <v>0</v>
      </c>
      <c r="L235" s="246">
        <f>SUMPRODUCT(--('Expanded Contact Investigaton'!$G$155:$G$265=I235),'Expanded Contact Investigaton'!$K$155:$K$265)/8</f>
        <v>0</v>
      </c>
      <c r="M235" s="246">
        <f>SUMPRODUCT(--('Testing CHW LTCF Employees+Res'!$G$240:$G$337=I235),'Testing CHW LTCF Employees+Res'!$K$240:$K$337)/8</f>
        <v>0</v>
      </c>
      <c r="N235" s="246">
        <f>SUMPRODUCT(--('Testing Hospital Employees'!$G$228:$G$325=I235),'Testing Hospital Employees'!$K$228:$K$325)/8</f>
        <v>0</v>
      </c>
      <c r="O235" s="246">
        <f>SUMPRODUCT(--('Testing Essential Workers'!$G$239:$G$336=I235),'Testing Essential Workers'!$K$239:$K$336)/8</f>
        <v>0</v>
      </c>
      <c r="P235" s="246">
        <f>SUMPRODUCT(--('Testing Schoolchildren &amp; Staff'!$G$239:$G$336=I235),'Testing Schoolchildren &amp; Staff'!$K$239:$K$336)/8</f>
        <v>0</v>
      </c>
      <c r="Q235"/>
      <c r="R235"/>
      <c r="S235"/>
    </row>
    <row r="236" spans="9:19">
      <c r="I236" s="217" t="s">
        <v>12</v>
      </c>
      <c r="J236" s="246">
        <f>SUMPRODUCT(--('Current Strategy'!$G$190:$G$287=I236),'Current Strategy'!$K$190:$K$287)/8</f>
        <v>0</v>
      </c>
      <c r="K236" s="246">
        <f t="shared" si="38"/>
        <v>0</v>
      </c>
      <c r="L236" s="246">
        <f>SUMPRODUCT(--('Expanded Contact Investigaton'!$G$155:$G$265=I236),'Expanded Contact Investigaton'!$K$155:$K$265)/8</f>
        <v>0</v>
      </c>
      <c r="M236" s="246">
        <f>SUMPRODUCT(--('Testing CHW LTCF Employees+Res'!$G$240:$G$337=I236),'Testing CHW LTCF Employees+Res'!$K$240:$K$337)/8</f>
        <v>0</v>
      </c>
      <c r="N236" s="246">
        <f>SUMPRODUCT(--('Testing Hospital Employees'!$G$228:$G$325=I236),'Testing Hospital Employees'!$K$228:$K$325)/8</f>
        <v>0</v>
      </c>
      <c r="O236" s="246">
        <f>SUMPRODUCT(--('Testing Essential Workers'!$G$239:$G$336=I236),'Testing Essential Workers'!$K$239:$K$336)/8</f>
        <v>0</v>
      </c>
      <c r="P236" s="246">
        <f>SUMPRODUCT(--('Testing Schoolchildren &amp; Staff'!$G$239:$G$336=I236),'Testing Schoolchildren &amp; Staff'!$K$239:$K$336)/8</f>
        <v>0</v>
      </c>
      <c r="Q236"/>
      <c r="R236"/>
      <c r="S236"/>
    </row>
    <row r="237" spans="9:19" ht="20.100000000000001" customHeight="1">
      <c r="I237" s="217" t="s">
        <v>13</v>
      </c>
      <c r="J237" s="246">
        <f>SUMPRODUCT(--('Current Strategy'!$G$190:$G$287=I237),'Current Strategy'!$K$190:$K$287)/8</f>
        <v>0</v>
      </c>
      <c r="K237" s="246">
        <f t="shared" si="38"/>
        <v>0</v>
      </c>
      <c r="L237" s="246">
        <f>SUMPRODUCT(--('Expanded Contact Investigaton'!$G$155:$G$265=I237),'Expanded Contact Investigaton'!$K$155:$K$265)/8</f>
        <v>0</v>
      </c>
      <c r="M237" s="246">
        <f>SUMPRODUCT(--('Testing CHW LTCF Employees+Res'!$G$240:$G$337=I237),'Testing CHW LTCF Employees+Res'!$K$240:$K$337)/8</f>
        <v>0</v>
      </c>
      <c r="N237" s="246">
        <f>SUMPRODUCT(--('Testing Hospital Employees'!$G$228:$G$325=I237),'Testing Hospital Employees'!$K$228:$K$325)/8</f>
        <v>0</v>
      </c>
      <c r="O237" s="246">
        <f>SUMPRODUCT(--('Testing Essential Workers'!$G$239:$G$336=I237),'Testing Essential Workers'!$K$239:$K$336)/8</f>
        <v>0</v>
      </c>
      <c r="P237" s="246">
        <f>SUMPRODUCT(--('Testing Schoolchildren &amp; Staff'!$G$239:$G$336=I237),'Testing Schoolchildren &amp; Staff'!$K$239:$K$336)/8</f>
        <v>0</v>
      </c>
      <c r="Q237"/>
      <c r="R237"/>
      <c r="S237"/>
    </row>
    <row r="238" spans="9:19">
      <c r="I238" s="217" t="s">
        <v>27</v>
      </c>
      <c r="J238" s="246">
        <f>SUMPRODUCT(--('Current Strategy'!$G$190:$G$287=I238),'Current Strategy'!$K$190:$K$287)/8</f>
        <v>1.5022171785882545</v>
      </c>
      <c r="K238" s="246">
        <f t="shared" si="38"/>
        <v>3.0166447368456</v>
      </c>
      <c r="L238" s="246">
        <f>SUMPRODUCT(--('Expanded Contact Investigaton'!$G$155:$G$265=I238),'Expanded Contact Investigaton'!$K$155:$K$265)/8</f>
        <v>1.5144275582573454</v>
      </c>
      <c r="M238" s="246">
        <f>SUMPRODUCT(--('Testing CHW LTCF Employees+Res'!$G$240:$G$337=I238),'Testing CHW LTCF Employees+Res'!$K$240:$K$337)/8</f>
        <v>1.4956404761904762</v>
      </c>
      <c r="N238" s="246">
        <f>SUMPRODUCT(--('Testing Hospital Employees'!$G$228:$G$325=I238),'Testing Hospital Employees'!$K$228:$K$325)/8</f>
        <v>1.4956404761904762</v>
      </c>
      <c r="O238" s="246">
        <f>SUMPRODUCT(--('Testing Essential Workers'!$G$239:$G$336=I238),'Testing Essential Workers'!$K$239:$K$336)/8</f>
        <v>1.4947918439716312</v>
      </c>
      <c r="P238" s="246">
        <f>SUMPRODUCT(--('Testing Schoolchildren &amp; Staff'!$G$239:$G$336=I238),'Testing Schoolchildren &amp; Staff'!$K$239:$K$336)/8</f>
        <v>1.494947619047619</v>
      </c>
      <c r="Q238"/>
      <c r="R238"/>
      <c r="S238"/>
    </row>
    <row r="239" spans="9:19">
      <c r="I239" s="217" t="s">
        <v>6</v>
      </c>
      <c r="J239" s="246">
        <f>SUMPRODUCT(--('Current Strategy'!$G$190:$G$287=I239),'Current Strategy'!$K$190:$K$287)/8</f>
        <v>0</v>
      </c>
      <c r="K239" s="246">
        <f t="shared" si="38"/>
        <v>0</v>
      </c>
      <c r="L239" s="246">
        <f>SUMPRODUCT(--('Expanded Contact Investigaton'!$G$155:$G$265=I239),'Expanded Contact Investigaton'!$K$155:$K$265)/8</f>
        <v>0</v>
      </c>
      <c r="M239" s="246">
        <f>SUMPRODUCT(--('Testing CHW LTCF Employees+Res'!$G$240:$G$337=I239),'Testing CHW LTCF Employees+Res'!$K$240:$K$337)/8</f>
        <v>0</v>
      </c>
      <c r="N239" s="246">
        <f>SUMPRODUCT(--('Testing Hospital Employees'!$G$228:$G$325=I239),'Testing Hospital Employees'!$K$228:$K$325)/8</f>
        <v>0</v>
      </c>
      <c r="O239" s="246">
        <f>SUMPRODUCT(--('Testing Essential Workers'!$G$239:$G$336=I239),'Testing Essential Workers'!$K$239:$K$336)/8</f>
        <v>0</v>
      </c>
      <c r="P239" s="246">
        <f>SUMPRODUCT(--('Testing Schoolchildren &amp; Staff'!$G$239:$G$336=I239),'Testing Schoolchildren &amp; Staff'!$K$239:$K$336)/8</f>
        <v>0</v>
      </c>
      <c r="Q239"/>
      <c r="R239"/>
      <c r="S239"/>
    </row>
    <row r="240" spans="9:19">
      <c r="I240" s="217" t="s">
        <v>21</v>
      </c>
      <c r="J240" s="246">
        <f>SUMPRODUCT(--('Current Strategy'!$G$190:$G$287=I240),'Current Strategy'!$K$190:$K$287)/8</f>
        <v>0</v>
      </c>
      <c r="K240" s="246">
        <f t="shared" si="38"/>
        <v>0</v>
      </c>
      <c r="L240" s="246">
        <f>SUMPRODUCT(--('Expanded Contact Investigaton'!$G$155:$G$265=I240),'Expanded Contact Investigaton'!$K$155:$K$265)/8</f>
        <v>0</v>
      </c>
      <c r="M240" s="246">
        <f>SUMPRODUCT(--('Testing CHW LTCF Employees+Res'!$G$240:$G$337=I240),'Testing CHW LTCF Employees+Res'!$K$240:$K$337)/8</f>
        <v>0</v>
      </c>
      <c r="N240" s="246">
        <f>SUMPRODUCT(--('Testing Hospital Employees'!$G$228:$G$325=I240),'Testing Hospital Employees'!$K$228:$K$325)/8</f>
        <v>0</v>
      </c>
      <c r="O240" s="246">
        <f>SUMPRODUCT(--('Testing Essential Workers'!$G$239:$G$336=I240),'Testing Essential Workers'!$K$239:$K$336)/8</f>
        <v>0</v>
      </c>
      <c r="P240" s="246">
        <f>SUMPRODUCT(--('Testing Schoolchildren &amp; Staff'!$G$239:$G$336=I240),'Testing Schoolchildren &amp; Staff'!$K$239:$K$336)/8</f>
        <v>0</v>
      </c>
      <c r="Q240"/>
      <c r="R240"/>
      <c r="S240"/>
    </row>
    <row r="241" spans="9:19">
      <c r="I241" s="221" t="s">
        <v>386</v>
      </c>
      <c r="J241" s="246">
        <f>SUMPRODUCT(--('Current Strategy'!$G$190:$G$287=I241),'Current Strategy'!$K$190:$K$287)/8</f>
        <v>0</v>
      </c>
      <c r="K241" s="246">
        <f t="shared" si="38"/>
        <v>0</v>
      </c>
      <c r="L241" s="246">
        <f>SUMPRODUCT(--('Expanded Contact Investigaton'!$G$155:$G$265=I241),'Expanded Contact Investigaton'!$K$155:$K$265)/8</f>
        <v>0</v>
      </c>
      <c r="M241" s="246">
        <f>SUMPRODUCT(--('Testing CHW LTCF Employees+Res'!$G$240:$G$337=I241),'Testing CHW LTCF Employees+Res'!$K$240:$K$337)/8</f>
        <v>0</v>
      </c>
      <c r="N241" s="246">
        <f>SUMPRODUCT(--('Testing Hospital Employees'!$G$228:$G$325=I241),'Testing Hospital Employees'!$K$228:$K$325)/8</f>
        <v>0</v>
      </c>
      <c r="O241" s="246">
        <f>SUMPRODUCT(--('Testing Essential Workers'!$G$239:$G$336=I241),'Testing Essential Workers'!$K$239:$K$336)/8</f>
        <v>0</v>
      </c>
      <c r="P241" s="246">
        <f>SUMPRODUCT(--('Testing Schoolchildren &amp; Staff'!$G$239:$G$336=I241),'Testing Schoolchildren &amp; Staff'!$K$239:$K$336)/8</f>
        <v>0</v>
      </c>
      <c r="Q241"/>
      <c r="R241"/>
      <c r="S241"/>
    </row>
    <row r="242" spans="9:19">
      <c r="I242" s="217" t="s">
        <v>325</v>
      </c>
      <c r="J242" s="246">
        <f>SUMPRODUCT(--('Current Strategy'!$G$190:$G$287=I242),'Current Strategy'!$K$190:$K$287)/8</f>
        <v>0</v>
      </c>
      <c r="K242" s="246">
        <f t="shared" si="38"/>
        <v>0</v>
      </c>
      <c r="L242" s="246">
        <f>SUMPRODUCT(--('Expanded Contact Investigaton'!$G$155:$G$265=I242),'Expanded Contact Investigaton'!$K$155:$K$265)/8</f>
        <v>0</v>
      </c>
      <c r="M242" s="246">
        <f>SUMPRODUCT(--('Testing CHW LTCF Employees+Res'!$G$240:$G$337=I242),'Testing CHW LTCF Employees+Res'!$K$240:$K$337)/8</f>
        <v>0</v>
      </c>
      <c r="N242" s="246">
        <f>SUMPRODUCT(--('Testing Hospital Employees'!$G$228:$G$325=I242),'Testing Hospital Employees'!$K$228:$K$325)/8</f>
        <v>0</v>
      </c>
      <c r="O242" s="246">
        <f>SUMPRODUCT(--('Testing Essential Workers'!$G$239:$G$336=I242),'Testing Essential Workers'!$K$239:$K$336)/8</f>
        <v>0</v>
      </c>
      <c r="P242" s="246">
        <f>SUMPRODUCT(--('Testing Schoolchildren &amp; Staff'!$G$239:$G$336=I242),'Testing Schoolchildren &amp; Staff'!$K$239:$K$336)/8</f>
        <v>0</v>
      </c>
      <c r="Q242"/>
      <c r="R242"/>
      <c r="S242"/>
    </row>
    <row r="243" spans="9:19">
      <c r="I243" s="217" t="s">
        <v>31</v>
      </c>
      <c r="J243" s="246">
        <f>SUMPRODUCT(--('Current Strategy'!$G$190:$G$287=I243),'Current Strategy'!$K$190:$K$287)/8</f>
        <v>1.5022171785882544E-2</v>
      </c>
      <c r="K243" s="246">
        <f t="shared" si="38"/>
        <v>3.0166447368455994E-2</v>
      </c>
      <c r="L243" s="246">
        <f>SUMPRODUCT(--('Expanded Contact Investigaton'!$G$155:$G$265=I243),'Expanded Contact Investigaton'!$K$155:$K$265)/8</f>
        <v>1.5144275582573452E-2</v>
      </c>
      <c r="M243" s="246">
        <f>SUMPRODUCT(--('Testing CHW LTCF Employees+Res'!$G$240:$G$337=I243),'Testing CHW LTCF Employees+Res'!$K$240:$K$337)/8</f>
        <v>1.4956404761904759E-2</v>
      </c>
      <c r="N243" s="246">
        <f>SUMPRODUCT(--('Testing Hospital Employees'!$G$228:$G$325=I243),'Testing Hospital Employees'!$K$228:$K$325)/8</f>
        <v>1.4956404761904759E-2</v>
      </c>
      <c r="O243" s="246">
        <f>SUMPRODUCT(--('Testing Essential Workers'!$G$239:$G$336=I243),'Testing Essential Workers'!$K$239:$K$336)/8</f>
        <v>1.494791843971631E-2</v>
      </c>
      <c r="P243" s="246">
        <f>SUMPRODUCT(--('Testing Schoolchildren &amp; Staff'!$G$239:$G$336=I243),'Testing Schoolchildren &amp; Staff'!$K$239:$K$336)/8</f>
        <v>1.4949476190476187E-2</v>
      </c>
      <c r="Q243"/>
      <c r="R243"/>
      <c r="S243"/>
    </row>
    <row r="244" spans="9:19">
      <c r="I244" s="217" t="s">
        <v>40</v>
      </c>
      <c r="J244" s="246">
        <f>SUMPRODUCT(--('Current Strategy'!$G$190:$G$287=I244),'Current Strategy'!$K$190:$K$287)/8</f>
        <v>0</v>
      </c>
      <c r="K244" s="246">
        <f t="shared" si="38"/>
        <v>0</v>
      </c>
      <c r="L244" s="246">
        <f>SUMPRODUCT(--('Expanded Contact Investigaton'!$G$155:$G$265=I244),'Expanded Contact Investigaton'!$K$155:$K$265)/8</f>
        <v>0</v>
      </c>
      <c r="M244" s="246">
        <f>SUMPRODUCT(--('Testing CHW LTCF Employees+Res'!$G$240:$G$337=I244),'Testing CHW LTCF Employees+Res'!$K$240:$K$337)/8</f>
        <v>0</v>
      </c>
      <c r="N244" s="246">
        <f>SUMPRODUCT(--('Testing Hospital Employees'!$G$228:$G$325=I244),'Testing Hospital Employees'!$K$228:$K$325)/8</f>
        <v>0</v>
      </c>
      <c r="O244" s="246">
        <f>SUMPRODUCT(--('Testing Essential Workers'!$G$239:$G$336=I244),'Testing Essential Workers'!$K$239:$K$336)/8</f>
        <v>0</v>
      </c>
      <c r="P244" s="246">
        <f>SUMPRODUCT(--('Testing Schoolchildren &amp; Staff'!$G$239:$G$336=I244),'Testing Schoolchildren &amp; Staff'!$K$239:$K$336)/8</f>
        <v>0</v>
      </c>
      <c r="Q244"/>
      <c r="R244"/>
      <c r="S244"/>
    </row>
    <row r="245" spans="9:19">
      <c r="I245" s="217" t="s">
        <v>449</v>
      </c>
      <c r="J245" s="246">
        <f>SUMPRODUCT(--('Current Strategy'!$G$190:$G$287=I245),'Current Strategy'!$K$190:$K$287)/8</f>
        <v>0</v>
      </c>
      <c r="K245" s="246">
        <f t="shared" si="38"/>
        <v>0</v>
      </c>
      <c r="L245" s="246">
        <f>SUMPRODUCT(--('Expanded Contact Investigaton'!$G$155:$G$265=I245),'Expanded Contact Investigaton'!$K$155:$K$265)/8</f>
        <v>0</v>
      </c>
      <c r="M245" s="246">
        <f>SUMPRODUCT(--('Testing CHW LTCF Employees+Res'!$G$240:$G$337=I245),'Testing CHW LTCF Employees+Res'!$K$240:$K$337)/8</f>
        <v>0</v>
      </c>
      <c r="N245" s="246">
        <f>SUMPRODUCT(--('Testing Hospital Employees'!$G$228:$G$325=I245),'Testing Hospital Employees'!$K$228:$K$325)/8</f>
        <v>0</v>
      </c>
      <c r="O245" s="246">
        <f>SUMPRODUCT(--('Testing Essential Workers'!$G$239:$G$336=I245),'Testing Essential Workers'!$K$239:$K$336)/8</f>
        <v>0</v>
      </c>
      <c r="P245" s="246">
        <f>SUMPRODUCT(--('Testing Schoolchildren &amp; Staff'!$G$239:$G$336=I245),'Testing Schoolchildren &amp; Staff'!$K$239:$K$336)/8</f>
        <v>0</v>
      </c>
      <c r="Q245"/>
      <c r="R245"/>
      <c r="S245"/>
    </row>
    <row r="246" spans="9:19" ht="20.100000000000001" customHeight="1">
      <c r="I246" s="217" t="s">
        <v>323</v>
      </c>
      <c r="J246" s="246">
        <f>SUMPRODUCT(--('Current Strategy'!$G$190:$G$287=I246),'Current Strategy'!$K$190:$K$287)/8</f>
        <v>0</v>
      </c>
      <c r="K246" s="246">
        <f t="shared" si="38"/>
        <v>0</v>
      </c>
      <c r="L246" s="246">
        <f>SUMPRODUCT(--('Expanded Contact Investigaton'!$G$155:$G$265=I246),'Expanded Contact Investigaton'!$K$155:$K$265)/8</f>
        <v>0</v>
      </c>
      <c r="M246" s="246">
        <f>SUMPRODUCT(--('Testing CHW LTCF Employees+Res'!$G$240:$G$337=I246),'Testing CHW LTCF Employees+Res'!$K$240:$K$337)/8</f>
        <v>0</v>
      </c>
      <c r="N246" s="246">
        <f>SUMPRODUCT(--('Testing Hospital Employees'!$G$228:$G$325=I246),'Testing Hospital Employees'!$K$228:$K$325)/8</f>
        <v>0</v>
      </c>
      <c r="O246" s="246">
        <f>SUMPRODUCT(--('Testing Essential Workers'!$G$239:$G$336=I246),'Testing Essential Workers'!$K$239:$K$336)/8</f>
        <v>0</v>
      </c>
      <c r="P246" s="246">
        <f>SUMPRODUCT(--('Testing Schoolchildren &amp; Staff'!$G$239:$G$336=I246),'Testing Schoolchildren &amp; Staff'!$K$239:$K$336)/8</f>
        <v>0</v>
      </c>
      <c r="Q246"/>
      <c r="R246"/>
      <c r="S246"/>
    </row>
    <row r="247" spans="9:19">
      <c r="I247" s="217" t="s">
        <v>354</v>
      </c>
      <c r="J247" s="246">
        <f>SUMPRODUCT(--('Current Strategy'!$G$190:$G$287=I247),'Current Strategy'!$K$190:$K$287)/8</f>
        <v>0</v>
      </c>
      <c r="K247" s="246">
        <f t="shared" si="38"/>
        <v>0</v>
      </c>
      <c r="L247" s="246">
        <f>SUMPRODUCT(--('Expanded Contact Investigaton'!$G$155:$G$265=I247),'Expanded Contact Investigaton'!$K$155:$K$265)/8</f>
        <v>0</v>
      </c>
      <c r="M247" s="246">
        <f>SUMPRODUCT(--('Testing CHW LTCF Employees+Res'!$G$240:$G$337=I247),'Testing CHW LTCF Employees+Res'!$K$240:$K$337)/8</f>
        <v>0</v>
      </c>
      <c r="N247" s="246">
        <f>SUMPRODUCT(--('Testing Hospital Employees'!$G$228:$G$325=I247),'Testing Hospital Employees'!$K$228:$K$325)/8</f>
        <v>0</v>
      </c>
      <c r="O247" s="246">
        <f>SUMPRODUCT(--('Testing Essential Workers'!$G$239:$G$336=I247),'Testing Essential Workers'!$K$239:$K$336)/8</f>
        <v>0</v>
      </c>
      <c r="P247" s="246">
        <f>SUMPRODUCT(--('Testing Schoolchildren &amp; Staff'!$G$239:$G$336=I247),'Testing Schoolchildren &amp; Staff'!$K$239:$K$336)/8</f>
        <v>0</v>
      </c>
      <c r="Q247"/>
      <c r="R247"/>
      <c r="S247"/>
    </row>
    <row r="248" spans="9:19">
      <c r="I248" s="217" t="s">
        <v>32</v>
      </c>
      <c r="J248" s="246">
        <f>SUMPRODUCT(--('Current Strategy'!$G$190:$G$287=I248),'Current Strategy'!$K$190:$K$287)/8</f>
        <v>0.15022171785882543</v>
      </c>
      <c r="K248" s="246">
        <f t="shared" si="38"/>
        <v>0.30166447368455995</v>
      </c>
      <c r="L248" s="246">
        <f>SUMPRODUCT(--('Expanded Contact Investigaton'!$G$155:$G$265=I248),'Expanded Contact Investigaton'!$K$155:$K$265)/8</f>
        <v>0.15144275582573452</v>
      </c>
      <c r="M248" s="246">
        <f>SUMPRODUCT(--('Testing CHW LTCF Employees+Res'!$G$240:$G$337=I248),'Testing CHW LTCF Employees+Res'!$K$240:$K$337)/8</f>
        <v>0.14956404761904762</v>
      </c>
      <c r="N248" s="246">
        <f>SUMPRODUCT(--('Testing Hospital Employees'!$G$228:$G$325=I248),'Testing Hospital Employees'!$K$228:$K$325)/8</f>
        <v>0.14956404761904762</v>
      </c>
      <c r="O248" s="246">
        <f>SUMPRODUCT(--('Testing Essential Workers'!$G$239:$G$336=I248),'Testing Essential Workers'!$K$239:$K$336)/8</f>
        <v>0.1494791843971631</v>
      </c>
      <c r="P248" s="246">
        <f>SUMPRODUCT(--('Testing Schoolchildren &amp; Staff'!$G$239:$G$336=I248),'Testing Schoolchildren &amp; Staff'!$K$239:$K$336)/8</f>
        <v>0.14949476190476188</v>
      </c>
      <c r="Q248"/>
      <c r="R248"/>
      <c r="S248"/>
    </row>
    <row r="249" spans="9:19">
      <c r="I249" s="217" t="s">
        <v>33</v>
      </c>
      <c r="J249" s="246">
        <f>SUMPRODUCT(--('Current Strategy'!$G$190:$G$287=I249),'Current Strategy'!$K$190:$K$287)/8</f>
        <v>4.5521732684492555E-2</v>
      </c>
      <c r="K249" s="246">
        <f t="shared" si="38"/>
        <v>9.1413476874109084E-2</v>
      </c>
      <c r="L249" s="246">
        <f>SUMPRODUCT(--('Expanded Contact Investigaton'!$G$155:$G$265=I249),'Expanded Contact Investigaton'!$K$155:$K$265)/8</f>
        <v>4.5891744189616529E-2</v>
      </c>
      <c r="M249" s="246">
        <f>SUMPRODUCT(--('Testing CHW LTCF Employees+Res'!$G$240:$G$337=I249),'Testing CHW LTCF Employees+Res'!$K$240:$K$337)/8</f>
        <v>4.5322438672438667E-2</v>
      </c>
      <c r="N249" s="246">
        <f>SUMPRODUCT(--('Testing Hospital Employees'!$G$228:$G$325=I249),'Testing Hospital Employees'!$K$228:$K$325)/8</f>
        <v>4.5322438672438667E-2</v>
      </c>
      <c r="O249" s="246">
        <f>SUMPRODUCT(--('Testing Essential Workers'!$G$239:$G$336=I249),'Testing Essential Workers'!$K$239:$K$336)/8</f>
        <v>4.5296722544594881E-2</v>
      </c>
      <c r="P249" s="246">
        <f>SUMPRODUCT(--('Testing Schoolchildren &amp; Staff'!$G$239:$G$336=I249),'Testing Schoolchildren &amp; Staff'!$K$239:$K$336)/8</f>
        <v>4.5301443001442995E-2</v>
      </c>
      <c r="Q249"/>
      <c r="R249"/>
      <c r="S249"/>
    </row>
    <row r="250" spans="9:19">
      <c r="I250" s="217" t="s">
        <v>34</v>
      </c>
      <c r="J250" s="246">
        <f>SUMPRODUCT(--('Current Strategy'!$G$190:$G$287=I250),'Current Strategy'!$K$190:$K$287)/8</f>
        <v>1.5022171785882544E-2</v>
      </c>
      <c r="K250" s="246">
        <f t="shared" si="38"/>
        <v>3.0166447368455994E-2</v>
      </c>
      <c r="L250" s="246">
        <f>SUMPRODUCT(--('Expanded Contact Investigaton'!$G$155:$G$265=I250),'Expanded Contact Investigaton'!$K$155:$K$265)/8</f>
        <v>1.5144275582573452E-2</v>
      </c>
      <c r="M250" s="246">
        <f>SUMPRODUCT(--('Testing CHW LTCF Employees+Res'!$G$240:$G$337=I250),'Testing CHW LTCF Employees+Res'!$K$240:$K$337)/8</f>
        <v>1.4956404761904759E-2</v>
      </c>
      <c r="N250" s="246">
        <f>SUMPRODUCT(--('Testing Hospital Employees'!$G$228:$G$325=I250),'Testing Hospital Employees'!$K$228:$K$325)/8</f>
        <v>1.4956404761904759E-2</v>
      </c>
      <c r="O250" s="246">
        <f>SUMPRODUCT(--('Testing Essential Workers'!$G$239:$G$336=I250),'Testing Essential Workers'!$K$239:$K$336)/8</f>
        <v>1.494791843971631E-2</v>
      </c>
      <c r="P250" s="246">
        <f>SUMPRODUCT(--('Testing Schoolchildren &amp; Staff'!$G$239:$G$336=I250),'Testing Schoolchildren &amp; Staff'!$K$239:$K$336)/8</f>
        <v>1.4949476190476187E-2</v>
      </c>
      <c r="Q250"/>
      <c r="R250"/>
      <c r="S250"/>
    </row>
    <row r="251" spans="9:19">
      <c r="I251" s="217" t="s">
        <v>450</v>
      </c>
      <c r="J251" s="246">
        <f>SUMPRODUCT(--('Current Strategy'!$G$190:$G$287=I251),'Current Strategy'!$K$190:$K$287)/8</f>
        <v>0</v>
      </c>
      <c r="K251" s="246">
        <f t="shared" si="38"/>
        <v>0</v>
      </c>
      <c r="L251" s="246">
        <f>SUMPRODUCT(--('Expanded Contact Investigaton'!$G$155:$G$265=I251),'Expanded Contact Investigaton'!$K$155:$K$265)/8</f>
        <v>0</v>
      </c>
      <c r="M251" s="246">
        <f>SUMPRODUCT(--('Testing CHW LTCF Employees+Res'!$G$240:$G$337=I251),'Testing CHW LTCF Employees+Res'!$K$240:$K$337)/8</f>
        <v>0</v>
      </c>
      <c r="N251" s="246">
        <f>SUMPRODUCT(--('Testing Hospital Employees'!$G$228:$G$325=I251),'Testing Hospital Employees'!$K$228:$K$325)/8</f>
        <v>0</v>
      </c>
      <c r="O251" s="246">
        <f>SUMPRODUCT(--('Testing Essential Workers'!$G$239:$G$336=I251),'Testing Essential Workers'!$K$239:$K$336)/8</f>
        <v>0</v>
      </c>
      <c r="P251" s="246">
        <f>SUMPRODUCT(--('Testing Schoolchildren &amp; Staff'!$G$239:$G$336=I251),'Testing Schoolchildren &amp; Staff'!$K$239:$K$336)/8</f>
        <v>0</v>
      </c>
      <c r="Q251"/>
      <c r="R251"/>
      <c r="S251"/>
    </row>
    <row r="252" spans="9:19">
      <c r="I252" s="217" t="s">
        <v>180</v>
      </c>
      <c r="J252" s="246">
        <f>SUMPRODUCT(--('Current Strategy'!$G$190:$G$287=I252),'Current Strategy'!$K$190:$K$287)/8</f>
        <v>0</v>
      </c>
      <c r="K252" s="246">
        <f t="shared" si="38"/>
        <v>0</v>
      </c>
      <c r="L252" s="246">
        <f>SUMPRODUCT(--('Expanded Contact Investigaton'!$G$155:$G$265=I252),'Expanded Contact Investigaton'!$K$155:$K$265)/8</f>
        <v>0</v>
      </c>
      <c r="M252" s="246">
        <f>SUMPRODUCT(--('Testing CHW LTCF Employees+Res'!$G$240:$G$337=I252),'Testing CHW LTCF Employees+Res'!$K$240:$K$337)/8</f>
        <v>0</v>
      </c>
      <c r="N252" s="246">
        <f>SUMPRODUCT(--('Testing Hospital Employees'!$G$228:$G$325=I252),'Testing Hospital Employees'!$K$228:$K$325)/8</f>
        <v>0</v>
      </c>
      <c r="O252" s="246">
        <f>SUMPRODUCT(--('Testing Essential Workers'!$G$239:$G$336=I252),'Testing Essential Workers'!$K$239:$K$336)/8</f>
        <v>0</v>
      </c>
      <c r="P252" s="246">
        <f>SUMPRODUCT(--('Testing Schoolchildren &amp; Staff'!$G$239:$G$336=I252),'Testing Schoolchildren &amp; Staff'!$K$239:$K$336)/8</f>
        <v>0</v>
      </c>
      <c r="Q252"/>
      <c r="R252"/>
      <c r="S252"/>
    </row>
    <row r="253" spans="9:19" ht="20.100000000000001" customHeight="1">
      <c r="I253" s="217" t="s">
        <v>353</v>
      </c>
      <c r="J253" s="246">
        <f>SUMPRODUCT(--('Current Strategy'!$G$190:$G$287=I253),'Current Strategy'!$K$190:$K$287)/8</f>
        <v>0</v>
      </c>
      <c r="K253" s="246">
        <f t="shared" si="38"/>
        <v>0</v>
      </c>
      <c r="L253" s="246">
        <f>SUMPRODUCT(--('Expanded Contact Investigaton'!$G$155:$G$265=I253),'Expanded Contact Investigaton'!$K$155:$K$265)/8</f>
        <v>0</v>
      </c>
      <c r="M253" s="246">
        <f>SUMPRODUCT(--('Testing CHW LTCF Employees+Res'!$G$240:$G$337=I253),'Testing CHW LTCF Employees+Res'!$K$240:$K$337)/8</f>
        <v>0</v>
      </c>
      <c r="N253" s="246">
        <f>SUMPRODUCT(--('Testing Hospital Employees'!$G$228:$G$325=I253),'Testing Hospital Employees'!$K$228:$K$325)/8</f>
        <v>0</v>
      </c>
      <c r="O253" s="246">
        <f>SUMPRODUCT(--('Testing Essential Workers'!$G$239:$G$336=I253),'Testing Essential Workers'!$K$239:$K$336)/8</f>
        <v>0</v>
      </c>
      <c r="P253" s="246">
        <f>SUMPRODUCT(--('Testing Schoolchildren &amp; Staff'!$G$239:$G$336=I253),'Testing Schoolchildren &amp; Staff'!$K$239:$K$336)/8</f>
        <v>0</v>
      </c>
      <c r="Q253"/>
      <c r="R253"/>
      <c r="S253"/>
    </row>
    <row r="254" spans="9:19" ht="16.5" thickBot="1">
      <c r="I254" s="224" t="s">
        <v>230</v>
      </c>
      <c r="J254" s="247">
        <f>SUMPRODUCT(--('Current Strategy'!$G$190:$G$287=I254),'Current Strategy'!$K$190:$K$287)/8</f>
        <v>0</v>
      </c>
      <c r="K254" s="247">
        <f t="shared" si="38"/>
        <v>0</v>
      </c>
      <c r="L254" s="247">
        <f>SUMPRODUCT(--('Expanded Contact Investigaton'!$G$155:$G$265=I254),'Expanded Contact Investigaton'!$K$155:$K$265)/8</f>
        <v>0</v>
      </c>
      <c r="M254" s="247">
        <f>SUMPRODUCT(--('Testing CHW LTCF Employees+Res'!$G$240:$G$337=I254),'Testing CHW LTCF Employees+Res'!$K$240:$K$337)/8</f>
        <v>0</v>
      </c>
      <c r="N254" s="247">
        <f>SUMPRODUCT(--('Testing Hospital Employees'!$G$228:$G$325=I254),'Testing Hospital Employees'!$K$228:$K$325)/8</f>
        <v>0</v>
      </c>
      <c r="O254" s="247">
        <f>SUMPRODUCT(--('Testing Essential Workers'!$G$239:$G$336=I254),'Testing Essential Workers'!$K$239:$K$336)/8</f>
        <v>0</v>
      </c>
      <c r="P254" s="247">
        <f>SUMPRODUCT(--('Testing Schoolchildren &amp; Staff'!$G$239:$G$336=I254),'Testing Schoolchildren &amp; Staff'!$K$239:$K$336)/8</f>
        <v>0</v>
      </c>
      <c r="Q254"/>
      <c r="R254"/>
      <c r="S254"/>
    </row>
    <row r="255" spans="9:19" ht="16.5" thickBot="1">
      <c r="P255"/>
      <c r="Q255"/>
      <c r="R255"/>
      <c r="S255"/>
    </row>
    <row r="256" spans="9:19" ht="20.100000000000001" customHeight="1" thickBot="1">
      <c r="I256" s="459" t="s">
        <v>485</v>
      </c>
      <c r="J256" s="460"/>
      <c r="K256" s="460"/>
      <c r="L256" s="460"/>
      <c r="M256" s="460"/>
      <c r="N256" s="460"/>
      <c r="O256" s="460"/>
      <c r="P256" s="461"/>
      <c r="Q256"/>
      <c r="R256"/>
      <c r="S256"/>
    </row>
    <row r="257" spans="9:19" ht="16.5" thickBot="1">
      <c r="P257"/>
      <c r="Q257"/>
      <c r="R257"/>
      <c r="S257"/>
    </row>
    <row r="258" spans="9:19" ht="63.75" thickBot="1">
      <c r="I258" s="100" t="s">
        <v>472</v>
      </c>
      <c r="J258" s="433" t="s">
        <v>217</v>
      </c>
      <c r="K258" s="433" t="s">
        <v>591</v>
      </c>
      <c r="L258" s="433" t="s">
        <v>218</v>
      </c>
      <c r="M258" s="449" t="s">
        <v>282</v>
      </c>
      <c r="N258" s="449" t="s">
        <v>265</v>
      </c>
      <c r="O258" s="449" t="s">
        <v>219</v>
      </c>
      <c r="P258" s="450" t="s">
        <v>596</v>
      </c>
      <c r="Q258"/>
      <c r="R258"/>
      <c r="S258"/>
    </row>
    <row r="259" spans="9:19">
      <c r="I259" t="s">
        <v>469</v>
      </c>
      <c r="J259" s="250">
        <f t="shared" ref="J259:P259" si="39">SUM(J235,J237,J239,J241,J246,J247,J251,J252,J245,J244)</f>
        <v>0</v>
      </c>
      <c r="K259" s="250">
        <f t="shared" si="39"/>
        <v>0</v>
      </c>
      <c r="L259" s="250">
        <f t="shared" si="39"/>
        <v>0</v>
      </c>
      <c r="M259" s="258">
        <f t="shared" si="39"/>
        <v>0</v>
      </c>
      <c r="N259" s="258">
        <f t="shared" si="39"/>
        <v>0</v>
      </c>
      <c r="O259" s="258">
        <f t="shared" si="39"/>
        <v>0</v>
      </c>
      <c r="P259" s="250">
        <f t="shared" si="39"/>
        <v>0</v>
      </c>
      <c r="Q259"/>
      <c r="R259"/>
      <c r="S259"/>
    </row>
    <row r="260" spans="9:19">
      <c r="I260" t="s">
        <v>470</v>
      </c>
      <c r="J260" s="250">
        <f t="shared" ref="J260:P260" si="40">SUM(J234,J253,J254)</f>
        <v>0.95238095238095233</v>
      </c>
      <c r="K260" s="250">
        <f t="shared" si="40"/>
        <v>1.9047619047619047</v>
      </c>
      <c r="L260" s="250">
        <f t="shared" si="40"/>
        <v>0.95238095238095222</v>
      </c>
      <c r="M260" s="258">
        <f t="shared" si="40"/>
        <v>0.95238095238095244</v>
      </c>
      <c r="N260" s="258">
        <f t="shared" si="40"/>
        <v>0.95238095238095244</v>
      </c>
      <c r="O260" s="258">
        <f t="shared" si="40"/>
        <v>0.95238095238095233</v>
      </c>
      <c r="P260" s="250">
        <f t="shared" si="40"/>
        <v>0.95238095238095233</v>
      </c>
      <c r="Q260"/>
      <c r="R260"/>
      <c r="S260"/>
    </row>
    <row r="261" spans="9:19" ht="16.5" thickBot="1">
      <c r="I261" s="241" t="s">
        <v>471</v>
      </c>
      <c r="J261" s="251">
        <f t="shared" ref="J261:P261" si="41">SUM(J238,J243,J248,J249,J250)</f>
        <v>1.7280049727033375</v>
      </c>
      <c r="K261" s="251">
        <f t="shared" si="41"/>
        <v>3.4700555821411814</v>
      </c>
      <c r="L261" s="251">
        <f t="shared" si="41"/>
        <v>1.7420506094378434</v>
      </c>
      <c r="M261" s="259">
        <f t="shared" si="41"/>
        <v>1.7204397720057722</v>
      </c>
      <c r="N261" s="259">
        <f t="shared" si="41"/>
        <v>1.7204397720057722</v>
      </c>
      <c r="O261" s="259">
        <f t="shared" si="41"/>
        <v>1.7194635877928217</v>
      </c>
      <c r="P261" s="251">
        <f t="shared" si="41"/>
        <v>1.7196427763347764</v>
      </c>
      <c r="Q261"/>
      <c r="R261"/>
      <c r="S261"/>
    </row>
    <row r="262" spans="9:19" ht="20.100000000000001" customHeight="1" thickBot="1">
      <c r="P262"/>
      <c r="Q262"/>
      <c r="R262"/>
      <c r="S262"/>
    </row>
    <row r="263" spans="9:19" ht="20.100000000000001" customHeight="1" thickBot="1">
      <c r="I263" s="453" t="s">
        <v>486</v>
      </c>
      <c r="J263" s="454"/>
      <c r="K263" s="454"/>
      <c r="L263" s="454"/>
      <c r="M263" s="454"/>
      <c r="N263" s="454"/>
      <c r="O263" s="454"/>
      <c r="P263" s="455"/>
      <c r="Q263"/>
      <c r="R263"/>
      <c r="S263"/>
    </row>
    <row r="264" spans="9:19" ht="16.5" thickBot="1">
      <c r="I264" s="130"/>
      <c r="J264" s="151"/>
      <c r="K264" s="151"/>
      <c r="L264" s="151"/>
      <c r="M264" s="151"/>
      <c r="N264" s="151"/>
      <c r="O264" s="151"/>
      <c r="P264" s="151"/>
      <c r="Q264"/>
      <c r="R264"/>
      <c r="S264"/>
    </row>
    <row r="265" spans="9:19" ht="63.75" thickBot="1">
      <c r="I265" s="100" t="s">
        <v>448</v>
      </c>
      <c r="J265" s="433" t="s">
        <v>217</v>
      </c>
      <c r="K265" s="433" t="s">
        <v>591</v>
      </c>
      <c r="L265" s="433" t="s">
        <v>218</v>
      </c>
      <c r="M265" s="449" t="s">
        <v>282</v>
      </c>
      <c r="N265" s="449" t="s">
        <v>265</v>
      </c>
      <c r="O265" s="449" t="s">
        <v>219</v>
      </c>
      <c r="P265" s="450" t="s">
        <v>596</v>
      </c>
      <c r="Q265"/>
      <c r="R265"/>
      <c r="S265"/>
    </row>
    <row r="266" spans="9:19">
      <c r="I266" s="217" t="s">
        <v>14</v>
      </c>
      <c r="J266" s="253">
        <f>SUMPRODUCT(--('Current Strategy'!$G$288:$G$291=I266),'Current Strategy'!$K$288:$K$291)/8</f>
        <v>0.23549869798493506</v>
      </c>
      <c r="K266" s="253">
        <f t="shared" ref="K266:K286" si="42">J266+L266</f>
        <v>0.46692726941350648</v>
      </c>
      <c r="L266" s="253">
        <f>SUMPRODUCT(--('Expanded Contact Investigaton'!$G$266:$G$269=I266),'Expanded Contact Investigaton'!$K$266:$K$269)/8</f>
        <v>0.2314285714285714</v>
      </c>
      <c r="M266" s="253">
        <f>SUMPRODUCT(--('Testing CHW LTCF Employees+Res'!$G$338:$G$341=I266),'Testing CHW LTCF Employees+Res'!$K$338:$K$341)/8</f>
        <v>0.23827798571428571</v>
      </c>
      <c r="N266" s="253">
        <f>SUMPRODUCT(--('Testing Hospital Employees'!$G$326:$G$329=I266),'Testing Hospital Employees'!$K$326:$K$329)/8</f>
        <v>0.23827798571428571</v>
      </c>
      <c r="O266" s="253">
        <f>SUMPRODUCT(--('Testing Essential Workers'!$G$337:$G$340=I266),'Testing Essential Workers'!$K$337:$K$340)/8</f>
        <v>0.2379738095238095</v>
      </c>
      <c r="P266" s="253">
        <f>SUMPRODUCT(--('Testing Schoolchildren &amp; Staff'!$G$337:$G$340=I266),'Testing Schoolchildren &amp; Staff'!$K$337:$K$340)/8</f>
        <v>0.23850939999999995</v>
      </c>
      <c r="Q266"/>
      <c r="R266"/>
      <c r="S266"/>
    </row>
    <row r="267" spans="9:19">
      <c r="I267" s="217" t="s">
        <v>17</v>
      </c>
      <c r="J267" s="246">
        <f>SUMPRODUCT(--('Current Strategy'!$G$288:$G$291=I267),'Current Strategy'!$K$288:$K$291)/8</f>
        <v>7.3065140700017225E-2</v>
      </c>
      <c r="K267" s="246">
        <f t="shared" si="42"/>
        <v>0.25268418831906486</v>
      </c>
      <c r="L267" s="246">
        <f>SUMPRODUCT(--('Expanded Contact Investigaton'!$G$266:$G$269=I267),'Expanded Contact Investigaton'!$K$266:$K$269)/8</f>
        <v>0.17961904761904762</v>
      </c>
      <c r="M267" s="246">
        <f>SUMPRODUCT(--('Testing CHW LTCF Employees+Res'!$G$338:$G$341=I267),'Testing CHW LTCF Employees+Res'!$K$338:$K$341)/8</f>
        <v>5.3503368571428567E-2</v>
      </c>
      <c r="N267" s="246">
        <f>SUMPRODUCT(--('Testing Hospital Employees'!$G$326:$G$329=I267),'Testing Hospital Employees'!$K$326:$K$329)/8</f>
        <v>5.3503368571428567E-2</v>
      </c>
      <c r="O267" s="246">
        <f>SUMPRODUCT(--('Testing Essential Workers'!$G$337:$G$340=I267),'Testing Essential Workers'!$K$337:$K$340)/8</f>
        <v>5.0023333333333329E-2</v>
      </c>
      <c r="P267" s="246">
        <f>SUMPRODUCT(--('Testing Schoolchildren &amp; Staff'!$G$337:$G$340=I267),'Testing Schoolchildren &amp; Staff'!$K$337:$K$340)/8</f>
        <v>4.8937994285714284E-2</v>
      </c>
      <c r="Q267"/>
      <c r="R267"/>
      <c r="S267"/>
    </row>
    <row r="268" spans="9:19">
      <c r="I268" s="217" t="s">
        <v>12</v>
      </c>
      <c r="J268" s="246">
        <f>SUMPRODUCT(--('Current Strategy'!$G$288:$G$291=I268),'Current Strategy'!$K$288:$K$291)/8</f>
        <v>0</v>
      </c>
      <c r="K268" s="246">
        <f t="shared" si="42"/>
        <v>0</v>
      </c>
      <c r="L268" s="246">
        <f>SUMPRODUCT(--('Expanded Contact Investigaton'!$G$266:$G$269=I268),'Expanded Contact Investigaton'!$K$266:$K$269)/8</f>
        <v>0</v>
      </c>
      <c r="M268" s="246">
        <f>SUMPRODUCT(--('Testing CHW LTCF Employees+Res'!$G$338:$G$341=I268),'Testing CHW LTCF Employees+Res'!$K$338:$K$341)/8</f>
        <v>0</v>
      </c>
      <c r="N268" s="246">
        <f>SUMPRODUCT(--('Testing Hospital Employees'!$G$326:$G$329=I268),'Testing Hospital Employees'!$K$326:$K$329)/8</f>
        <v>0</v>
      </c>
      <c r="O268" s="246">
        <f>SUMPRODUCT(--('Testing Essential Workers'!$G$337:$G$340=I268),'Testing Essential Workers'!$K$337:$K$340)/8</f>
        <v>0</v>
      </c>
      <c r="P268" s="246">
        <f>SUMPRODUCT(--('Testing Schoolchildren &amp; Staff'!$G$337:$G$340=I268),'Testing Schoolchildren &amp; Staff'!$K$337:$K$340)/8</f>
        <v>0</v>
      </c>
      <c r="Q268"/>
      <c r="R268"/>
      <c r="S268"/>
    </row>
    <row r="269" spans="9:19" ht="20.100000000000001" customHeight="1">
      <c r="I269" s="217" t="s">
        <v>13</v>
      </c>
      <c r="J269" s="246">
        <f>SUMPRODUCT(--('Current Strategy'!$G$288:$G$291=I269),'Current Strategy'!$K$288:$K$291)/8</f>
        <v>0</v>
      </c>
      <c r="K269" s="246">
        <f t="shared" si="42"/>
        <v>0</v>
      </c>
      <c r="L269" s="246">
        <f>SUMPRODUCT(--('Expanded Contact Investigaton'!$G$266:$G$269=I269),'Expanded Contact Investigaton'!$K$266:$K$269)/8</f>
        <v>0</v>
      </c>
      <c r="M269" s="246">
        <f>SUMPRODUCT(--('Testing CHW LTCF Employees+Res'!$G$338:$G$341=I269),'Testing CHW LTCF Employees+Res'!$K$338:$K$341)/8</f>
        <v>0</v>
      </c>
      <c r="N269" s="246">
        <f>SUMPRODUCT(--('Testing Hospital Employees'!$G$326:$G$329=I269),'Testing Hospital Employees'!$K$326:$K$329)/8</f>
        <v>0</v>
      </c>
      <c r="O269" s="246">
        <f>SUMPRODUCT(--('Testing Essential Workers'!$G$337:$G$340=I269),'Testing Essential Workers'!$K$337:$K$340)/8</f>
        <v>0</v>
      </c>
      <c r="P269" s="246">
        <f>SUMPRODUCT(--('Testing Schoolchildren &amp; Staff'!$G$337:$G$340=I269),'Testing Schoolchildren &amp; Staff'!$K$337:$K$340)/8</f>
        <v>0</v>
      </c>
      <c r="Q269"/>
      <c r="R269"/>
      <c r="S269"/>
    </row>
    <row r="270" spans="9:19">
      <c r="I270" s="217" t="s">
        <v>27</v>
      </c>
      <c r="J270" s="246">
        <f>SUMPRODUCT(--('Current Strategy'!$G$288:$G$291=I270),'Current Strategy'!$K$288:$K$291)/8</f>
        <v>0</v>
      </c>
      <c r="K270" s="246">
        <f t="shared" si="42"/>
        <v>0</v>
      </c>
      <c r="L270" s="246">
        <f>SUMPRODUCT(--('Expanded Contact Investigaton'!$G$266:$G$269=I270),'Expanded Contact Investigaton'!$K$266:$K$269)/8</f>
        <v>0</v>
      </c>
      <c r="M270" s="246">
        <f>SUMPRODUCT(--('Testing CHW LTCF Employees+Res'!$G$338:$G$341=I270),'Testing CHW LTCF Employees+Res'!$K$338:$K$341)/8</f>
        <v>0</v>
      </c>
      <c r="N270" s="246">
        <f>SUMPRODUCT(--('Testing Hospital Employees'!$G$326:$G$329=I270),'Testing Hospital Employees'!$K$326:$K$329)/8</f>
        <v>0</v>
      </c>
      <c r="O270" s="246">
        <f>SUMPRODUCT(--('Testing Essential Workers'!$G$337:$G$340=I270),'Testing Essential Workers'!$K$337:$K$340)/8</f>
        <v>0</v>
      </c>
      <c r="P270" s="246">
        <f>SUMPRODUCT(--('Testing Schoolchildren &amp; Staff'!$G$337:$G$340=I270),'Testing Schoolchildren &amp; Staff'!$K$337:$K$340)/8</f>
        <v>0</v>
      </c>
      <c r="Q270"/>
      <c r="R270"/>
      <c r="S270"/>
    </row>
    <row r="271" spans="9:19">
      <c r="I271" s="217" t="s">
        <v>6</v>
      </c>
      <c r="J271" s="246">
        <f>SUMPRODUCT(--('Current Strategy'!$G$288:$G$291=I271),'Current Strategy'!$K$288:$K$291)/8</f>
        <v>0</v>
      </c>
      <c r="K271" s="246">
        <f t="shared" si="42"/>
        <v>0</v>
      </c>
      <c r="L271" s="246">
        <f>SUMPRODUCT(--('Expanded Contact Investigaton'!$G$266:$G$269=I271),'Expanded Contact Investigaton'!$K$266:$K$269)/8</f>
        <v>0</v>
      </c>
      <c r="M271" s="246">
        <f>SUMPRODUCT(--('Testing CHW LTCF Employees+Res'!$G$338:$G$341=I271),'Testing CHW LTCF Employees+Res'!$K$338:$K$341)/8</f>
        <v>0</v>
      </c>
      <c r="N271" s="246">
        <f>SUMPRODUCT(--('Testing Hospital Employees'!$G$326:$G$329=I271),'Testing Hospital Employees'!$K$326:$K$329)/8</f>
        <v>0</v>
      </c>
      <c r="O271" s="246">
        <f>SUMPRODUCT(--('Testing Essential Workers'!$G$337:$G$340=I271),'Testing Essential Workers'!$K$337:$K$340)/8</f>
        <v>0</v>
      </c>
      <c r="P271" s="246">
        <f>SUMPRODUCT(--('Testing Schoolchildren &amp; Staff'!$G$337:$G$340=I271),'Testing Schoolchildren &amp; Staff'!$K$337:$K$340)/8</f>
        <v>0</v>
      </c>
      <c r="Q271"/>
      <c r="R271"/>
      <c r="S271"/>
    </row>
    <row r="272" spans="9:19">
      <c r="I272" s="217" t="s">
        <v>21</v>
      </c>
      <c r="J272" s="246">
        <f>SUMPRODUCT(--('Current Strategy'!$G$288:$G$291=I272),'Current Strategy'!$K$288:$K$291)/8</f>
        <v>0</v>
      </c>
      <c r="K272" s="246">
        <f t="shared" si="42"/>
        <v>0</v>
      </c>
      <c r="L272" s="246">
        <f>SUMPRODUCT(--('Expanded Contact Investigaton'!$G$266:$G$269=I272),'Expanded Contact Investigaton'!$K$266:$K$269)/8</f>
        <v>0</v>
      </c>
      <c r="M272" s="246">
        <f>SUMPRODUCT(--('Testing CHW LTCF Employees+Res'!$G$338:$G$341=I272),'Testing CHW LTCF Employees+Res'!$K$338:$K$341)/8</f>
        <v>0</v>
      </c>
      <c r="N272" s="246">
        <f>SUMPRODUCT(--('Testing Hospital Employees'!$G$326:$G$329=I272),'Testing Hospital Employees'!$K$326:$K$329)/8</f>
        <v>0</v>
      </c>
      <c r="O272" s="246">
        <f>SUMPRODUCT(--('Testing Essential Workers'!$G$337:$G$340=I272),'Testing Essential Workers'!$K$337:$K$340)/8</f>
        <v>0</v>
      </c>
      <c r="P272" s="246">
        <f>SUMPRODUCT(--('Testing Schoolchildren &amp; Staff'!$G$337:$G$340=I272),'Testing Schoolchildren &amp; Staff'!$K$337:$K$340)/8</f>
        <v>0</v>
      </c>
      <c r="Q272"/>
      <c r="R272"/>
      <c r="S272"/>
    </row>
    <row r="273" spans="9:19">
      <c r="I273" s="221" t="s">
        <v>386</v>
      </c>
      <c r="J273" s="246">
        <f>SUMPRODUCT(--('Current Strategy'!$G$288:$G$291=I273),'Current Strategy'!$K$288:$K$291)/8</f>
        <v>0</v>
      </c>
      <c r="K273" s="246">
        <f t="shared" si="42"/>
        <v>0</v>
      </c>
      <c r="L273" s="246">
        <f>SUMPRODUCT(--('Expanded Contact Investigaton'!$G$266:$G$269=I273),'Expanded Contact Investigaton'!$K$266:$K$269)/8</f>
        <v>0</v>
      </c>
      <c r="M273" s="246">
        <f>SUMPRODUCT(--('Testing CHW LTCF Employees+Res'!$G$338:$G$341=I273),'Testing CHW LTCF Employees+Res'!$K$338:$K$341)/8</f>
        <v>0</v>
      </c>
      <c r="N273" s="246">
        <f>SUMPRODUCT(--('Testing Hospital Employees'!$G$326:$G$329=I273),'Testing Hospital Employees'!$K$326:$K$329)/8</f>
        <v>0</v>
      </c>
      <c r="O273" s="246">
        <f>SUMPRODUCT(--('Testing Essential Workers'!$G$337:$G$340=I273),'Testing Essential Workers'!$K$337:$K$340)/8</f>
        <v>0</v>
      </c>
      <c r="P273" s="246">
        <f>SUMPRODUCT(--('Testing Schoolchildren &amp; Staff'!$G$337:$G$340=I273),'Testing Schoolchildren &amp; Staff'!$K$337:$K$340)/8</f>
        <v>0</v>
      </c>
      <c r="Q273"/>
      <c r="R273"/>
      <c r="S273"/>
    </row>
    <row r="274" spans="9:19">
      <c r="I274" s="217" t="s">
        <v>325</v>
      </c>
      <c r="J274" s="246">
        <f>SUMPRODUCT(--('Current Strategy'!$G$288:$G$291=I274),'Current Strategy'!$K$288:$K$291)/8</f>
        <v>0</v>
      </c>
      <c r="K274" s="246">
        <f t="shared" si="42"/>
        <v>0</v>
      </c>
      <c r="L274" s="246">
        <f>SUMPRODUCT(--('Expanded Contact Investigaton'!$G$266:$G$269=I274),'Expanded Contact Investigaton'!$K$266:$K$269)/8</f>
        <v>0</v>
      </c>
      <c r="M274" s="246">
        <f>SUMPRODUCT(--('Testing CHW LTCF Employees+Res'!$G$338:$G$341=I274),'Testing CHW LTCF Employees+Res'!$K$338:$K$341)/8</f>
        <v>0</v>
      </c>
      <c r="N274" s="246">
        <f>SUMPRODUCT(--('Testing Hospital Employees'!$G$326:$G$329=I274),'Testing Hospital Employees'!$K$326:$K$329)/8</f>
        <v>0</v>
      </c>
      <c r="O274" s="246">
        <f>SUMPRODUCT(--('Testing Essential Workers'!$G$337:$G$340=I274),'Testing Essential Workers'!$K$337:$K$340)/8</f>
        <v>0</v>
      </c>
      <c r="P274" s="246">
        <f>SUMPRODUCT(--('Testing Schoolchildren &amp; Staff'!$G$337:$G$340=I274),'Testing Schoolchildren &amp; Staff'!$K$337:$K$340)/8</f>
        <v>0</v>
      </c>
      <c r="Q274"/>
      <c r="R274"/>
      <c r="S274"/>
    </row>
    <row r="275" spans="9:19">
      <c r="I275" s="217" t="s">
        <v>31</v>
      </c>
      <c r="J275" s="246">
        <f>SUMPRODUCT(--('Current Strategy'!$G$288:$G$291=I275),'Current Strategy'!$K$288:$K$291)/8</f>
        <v>0</v>
      </c>
      <c r="K275" s="246">
        <f t="shared" si="42"/>
        <v>0</v>
      </c>
      <c r="L275" s="246">
        <f>SUMPRODUCT(--('Expanded Contact Investigaton'!$G$266:$G$269=I275),'Expanded Contact Investigaton'!$K$266:$K$269)/8</f>
        <v>0</v>
      </c>
      <c r="M275" s="246">
        <f>SUMPRODUCT(--('Testing CHW LTCF Employees+Res'!$G$338:$G$341=I275),'Testing CHW LTCF Employees+Res'!$K$338:$K$341)/8</f>
        <v>0</v>
      </c>
      <c r="N275" s="246">
        <f>SUMPRODUCT(--('Testing Hospital Employees'!$G$326:$G$329=I275),'Testing Hospital Employees'!$K$326:$K$329)/8</f>
        <v>0</v>
      </c>
      <c r="O275" s="246">
        <f>SUMPRODUCT(--('Testing Essential Workers'!$G$337:$G$340=I275),'Testing Essential Workers'!$K$337:$K$340)/8</f>
        <v>0</v>
      </c>
      <c r="P275" s="246">
        <f>SUMPRODUCT(--('Testing Schoolchildren &amp; Staff'!$G$337:$G$340=I275),'Testing Schoolchildren &amp; Staff'!$K$337:$K$340)/8</f>
        <v>0</v>
      </c>
      <c r="Q275"/>
      <c r="R275"/>
      <c r="S275"/>
    </row>
    <row r="276" spans="9:19">
      <c r="I276" s="217" t="s">
        <v>40</v>
      </c>
      <c r="J276" s="246">
        <f>SUMPRODUCT(--('Current Strategy'!$G$288:$G$291=I276),'Current Strategy'!$K$288:$K$291)/8</f>
        <v>0</v>
      </c>
      <c r="K276" s="246">
        <f t="shared" si="42"/>
        <v>0</v>
      </c>
      <c r="L276" s="246">
        <f>SUMPRODUCT(--('Expanded Contact Investigaton'!$G$266:$G$269=I276),'Expanded Contact Investigaton'!$K$266:$K$269)/8</f>
        <v>0</v>
      </c>
      <c r="M276" s="246">
        <f>SUMPRODUCT(--('Testing CHW LTCF Employees+Res'!$G$338:$G$341=I276),'Testing CHW LTCF Employees+Res'!$K$338:$K$341)/8</f>
        <v>0</v>
      </c>
      <c r="N276" s="246">
        <f>SUMPRODUCT(--('Testing Hospital Employees'!$G$326:$G$329=I276),'Testing Hospital Employees'!$K$326:$K$329)/8</f>
        <v>0</v>
      </c>
      <c r="O276" s="246">
        <f>SUMPRODUCT(--('Testing Essential Workers'!$G$337:$G$340=I276),'Testing Essential Workers'!$K$337:$K$340)/8</f>
        <v>0</v>
      </c>
      <c r="P276" s="246">
        <f>SUMPRODUCT(--('Testing Schoolchildren &amp; Staff'!$G$337:$G$340=I276),'Testing Schoolchildren &amp; Staff'!$K$337:$K$340)/8</f>
        <v>0</v>
      </c>
      <c r="Q276"/>
      <c r="R276"/>
      <c r="S276"/>
    </row>
    <row r="277" spans="9:19">
      <c r="I277" s="217" t="s">
        <v>449</v>
      </c>
      <c r="J277" s="246">
        <f>SUMPRODUCT(--('Current Strategy'!$G$288:$G$291=I277),'Current Strategy'!$K$288:$K$291)/8</f>
        <v>0</v>
      </c>
      <c r="K277" s="246">
        <f t="shared" si="42"/>
        <v>0</v>
      </c>
      <c r="L277" s="246">
        <f>SUMPRODUCT(--('Expanded Contact Investigaton'!$G$266:$G$269=I277),'Expanded Contact Investigaton'!$K$266:$K$269)/8</f>
        <v>0</v>
      </c>
      <c r="M277" s="246">
        <f>SUMPRODUCT(--('Testing CHW LTCF Employees+Res'!$G$338:$G$341=I277),'Testing CHW LTCF Employees+Res'!$K$338:$K$341)/8</f>
        <v>0</v>
      </c>
      <c r="N277" s="246">
        <f>SUMPRODUCT(--('Testing Hospital Employees'!$G$326:$G$329=I277),'Testing Hospital Employees'!$K$326:$K$329)/8</f>
        <v>0</v>
      </c>
      <c r="O277" s="246">
        <f>SUMPRODUCT(--('Testing Essential Workers'!$G$337:$G$340=I277),'Testing Essential Workers'!$K$337:$K$340)/8</f>
        <v>0</v>
      </c>
      <c r="P277" s="246">
        <f>SUMPRODUCT(--('Testing Schoolchildren &amp; Staff'!$G$337:$G$340=I277),'Testing Schoolchildren &amp; Staff'!$K$337:$K$340)/8</f>
        <v>0</v>
      </c>
      <c r="Q277"/>
      <c r="R277"/>
      <c r="S277"/>
    </row>
    <row r="278" spans="9:19" ht="20.100000000000001" customHeight="1">
      <c r="I278" s="217" t="s">
        <v>323</v>
      </c>
      <c r="J278" s="246">
        <f>SUMPRODUCT(--('Current Strategy'!$G$288:$G$291=I278),'Current Strategy'!$K$288:$K$291)/8</f>
        <v>0</v>
      </c>
      <c r="K278" s="246">
        <f t="shared" si="42"/>
        <v>0</v>
      </c>
      <c r="L278" s="246">
        <f>SUMPRODUCT(--('Expanded Contact Investigaton'!$G$266:$G$269=I278),'Expanded Contact Investigaton'!$K$266:$K$269)/8</f>
        <v>0</v>
      </c>
      <c r="M278" s="246">
        <f>SUMPRODUCT(--('Testing CHW LTCF Employees+Res'!$G$338:$G$341=I278),'Testing CHW LTCF Employees+Res'!$K$338:$K$341)/8</f>
        <v>0</v>
      </c>
      <c r="N278" s="246">
        <f>SUMPRODUCT(--('Testing Hospital Employees'!$G$326:$G$329=I278),'Testing Hospital Employees'!$K$326:$K$329)/8</f>
        <v>0</v>
      </c>
      <c r="O278" s="246">
        <f>SUMPRODUCT(--('Testing Essential Workers'!$G$337:$G$340=I278),'Testing Essential Workers'!$K$337:$K$340)/8</f>
        <v>0</v>
      </c>
      <c r="P278" s="246">
        <f>SUMPRODUCT(--('Testing Schoolchildren &amp; Staff'!$G$337:$G$340=I278),'Testing Schoolchildren &amp; Staff'!$K$337:$K$340)/8</f>
        <v>0</v>
      </c>
      <c r="Q278"/>
      <c r="R278"/>
      <c r="S278"/>
    </row>
    <row r="279" spans="9:19">
      <c r="I279" s="217" t="s">
        <v>354</v>
      </c>
      <c r="J279" s="246">
        <f>SUMPRODUCT(--('Current Strategy'!$G$288:$G$291=I279),'Current Strategy'!$K$288:$K$291)/8</f>
        <v>0</v>
      </c>
      <c r="K279" s="246">
        <f t="shared" si="42"/>
        <v>0</v>
      </c>
      <c r="L279" s="246">
        <f>SUMPRODUCT(--('Expanded Contact Investigaton'!$G$266:$G$269=I279),'Expanded Contact Investigaton'!$K$266:$K$269)/8</f>
        <v>0</v>
      </c>
      <c r="M279" s="246">
        <f>SUMPRODUCT(--('Testing CHW LTCF Employees+Res'!$G$338:$G$341=I279),'Testing CHW LTCF Employees+Res'!$K$338:$K$341)/8</f>
        <v>0</v>
      </c>
      <c r="N279" s="246">
        <f>SUMPRODUCT(--('Testing Hospital Employees'!$G$326:$G$329=I279),'Testing Hospital Employees'!$K$326:$K$329)/8</f>
        <v>0</v>
      </c>
      <c r="O279" s="246">
        <f>SUMPRODUCT(--('Testing Essential Workers'!$G$337:$G$340=I279),'Testing Essential Workers'!$K$337:$K$340)/8</f>
        <v>0</v>
      </c>
      <c r="P279" s="246">
        <f>SUMPRODUCT(--('Testing Schoolchildren &amp; Staff'!$G$337:$G$340=I279),'Testing Schoolchildren &amp; Staff'!$K$337:$K$340)/8</f>
        <v>0</v>
      </c>
      <c r="Q279"/>
      <c r="R279"/>
      <c r="S279"/>
    </row>
    <row r="280" spans="9:19">
      <c r="I280" s="217" t="s">
        <v>32</v>
      </c>
      <c r="J280" s="246">
        <f>SUMPRODUCT(--('Current Strategy'!$G$288:$G$291=I280),'Current Strategy'!$K$288:$K$291)/8</f>
        <v>0</v>
      </c>
      <c r="K280" s="246">
        <f t="shared" si="42"/>
        <v>0</v>
      </c>
      <c r="L280" s="246">
        <f>SUMPRODUCT(--('Expanded Contact Investigaton'!$G$266:$G$269=I280),'Expanded Contact Investigaton'!$K$266:$K$269)/8</f>
        <v>0</v>
      </c>
      <c r="M280" s="246">
        <f>SUMPRODUCT(--('Testing CHW LTCF Employees+Res'!$G$338:$G$341=I280),'Testing CHW LTCF Employees+Res'!$K$338:$K$341)/8</f>
        <v>0</v>
      </c>
      <c r="N280" s="246">
        <f>SUMPRODUCT(--('Testing Hospital Employees'!$G$326:$G$329=I280),'Testing Hospital Employees'!$K$326:$K$329)/8</f>
        <v>0</v>
      </c>
      <c r="O280" s="246">
        <f>SUMPRODUCT(--('Testing Essential Workers'!$G$337:$G$340=I280),'Testing Essential Workers'!$K$337:$K$340)/8</f>
        <v>0</v>
      </c>
      <c r="P280" s="246">
        <f>SUMPRODUCT(--('Testing Schoolchildren &amp; Staff'!$G$337:$G$340=I280),'Testing Schoolchildren &amp; Staff'!$K$337:$K$340)/8</f>
        <v>0</v>
      </c>
      <c r="Q280"/>
      <c r="R280"/>
      <c r="S280"/>
    </row>
    <row r="281" spans="9:19">
      <c r="I281" s="217" t="s">
        <v>33</v>
      </c>
      <c r="J281" s="246">
        <f>SUMPRODUCT(--('Current Strategy'!$G$288:$G$291=I281),'Current Strategy'!$K$288:$K$291)/8</f>
        <v>0</v>
      </c>
      <c r="K281" s="246">
        <f t="shared" si="42"/>
        <v>0</v>
      </c>
      <c r="L281" s="246">
        <f>SUMPRODUCT(--('Expanded Contact Investigaton'!$G$266:$G$269=I281),'Expanded Contact Investigaton'!$K$266:$K$269)/8</f>
        <v>0</v>
      </c>
      <c r="M281" s="246">
        <f>SUMPRODUCT(--('Testing CHW LTCF Employees+Res'!$G$338:$G$341=I281),'Testing CHW LTCF Employees+Res'!$K$338:$K$341)/8</f>
        <v>0</v>
      </c>
      <c r="N281" s="246">
        <f>SUMPRODUCT(--('Testing Hospital Employees'!$G$326:$G$329=I281),'Testing Hospital Employees'!$K$326:$K$329)/8</f>
        <v>0</v>
      </c>
      <c r="O281" s="246">
        <f>SUMPRODUCT(--('Testing Essential Workers'!$G$337:$G$340=I281),'Testing Essential Workers'!$K$337:$K$340)/8</f>
        <v>0</v>
      </c>
      <c r="P281" s="246">
        <f>SUMPRODUCT(--('Testing Schoolchildren &amp; Staff'!$G$337:$G$340=I281),'Testing Schoolchildren &amp; Staff'!$K$337:$K$340)/8</f>
        <v>0</v>
      </c>
      <c r="Q281"/>
      <c r="R281"/>
      <c r="S281"/>
    </row>
    <row r="282" spans="9:19">
      <c r="I282" s="217" t="s">
        <v>34</v>
      </c>
      <c r="J282" s="246">
        <f>SUMPRODUCT(--('Current Strategy'!$G$288:$G$291=I282),'Current Strategy'!$K$288:$K$291)/8</f>
        <v>0</v>
      </c>
      <c r="K282" s="246">
        <f t="shared" si="42"/>
        <v>0</v>
      </c>
      <c r="L282" s="246">
        <f>SUMPRODUCT(--('Expanded Contact Investigaton'!$G$266:$G$269=I282),'Expanded Contact Investigaton'!$K$266:$K$269)/8</f>
        <v>0</v>
      </c>
      <c r="M282" s="246">
        <f>SUMPRODUCT(--('Testing CHW LTCF Employees+Res'!$G$338:$G$341=I282),'Testing CHW LTCF Employees+Res'!$K$338:$K$341)/8</f>
        <v>0</v>
      </c>
      <c r="N282" s="246">
        <f>SUMPRODUCT(--('Testing Hospital Employees'!$G$326:$G$329=I282),'Testing Hospital Employees'!$K$326:$K$329)/8</f>
        <v>0</v>
      </c>
      <c r="O282" s="246">
        <f>SUMPRODUCT(--('Testing Essential Workers'!$G$337:$G$340=I282),'Testing Essential Workers'!$K$337:$K$340)/8</f>
        <v>0</v>
      </c>
      <c r="P282" s="246">
        <f>SUMPRODUCT(--('Testing Schoolchildren &amp; Staff'!$G$337:$G$340=I282),'Testing Schoolchildren &amp; Staff'!$K$337:$K$340)/8</f>
        <v>0</v>
      </c>
      <c r="Q282"/>
      <c r="R282"/>
      <c r="S282"/>
    </row>
    <row r="283" spans="9:19">
      <c r="I283" s="217" t="s">
        <v>450</v>
      </c>
      <c r="J283" s="246">
        <f>SUMPRODUCT(--('Current Strategy'!$G$288:$G$291=I283),'Current Strategy'!$K$288:$K$291)/8</f>
        <v>0</v>
      </c>
      <c r="K283" s="246">
        <f t="shared" si="42"/>
        <v>0</v>
      </c>
      <c r="L283" s="246">
        <f>SUMPRODUCT(--('Expanded Contact Investigaton'!$G$266:$G$269=I283),'Expanded Contact Investigaton'!$K$266:$K$269)/8</f>
        <v>0</v>
      </c>
      <c r="M283" s="246">
        <f>SUMPRODUCT(--('Testing CHW LTCF Employees+Res'!$G$338:$G$341=I283),'Testing CHW LTCF Employees+Res'!$K$338:$K$341)/8</f>
        <v>0</v>
      </c>
      <c r="N283" s="246">
        <f>SUMPRODUCT(--('Testing Hospital Employees'!$G$326:$G$329=I283),'Testing Hospital Employees'!$K$326:$K$329)/8</f>
        <v>0</v>
      </c>
      <c r="O283" s="246">
        <f>SUMPRODUCT(--('Testing Essential Workers'!$G$337:$G$340=I283),'Testing Essential Workers'!$K$337:$K$340)/8</f>
        <v>0</v>
      </c>
      <c r="P283" s="246">
        <f>SUMPRODUCT(--('Testing Schoolchildren &amp; Staff'!$G$337:$G$340=I283),'Testing Schoolchildren &amp; Staff'!$K$337:$K$340)/8</f>
        <v>0</v>
      </c>
      <c r="Q283"/>
      <c r="R283"/>
      <c r="S283"/>
    </row>
    <row r="284" spans="9:19">
      <c r="I284" s="217" t="s">
        <v>180</v>
      </c>
      <c r="J284" s="246">
        <f>SUMPRODUCT(--('Current Strategy'!$G$288:$G$291=I284),'Current Strategy'!$K$288:$K$291)/8</f>
        <v>0</v>
      </c>
      <c r="K284" s="246">
        <f t="shared" si="42"/>
        <v>0</v>
      </c>
      <c r="L284" s="246">
        <f>SUMPRODUCT(--('Expanded Contact Investigaton'!$G$266:$G$269=I284),'Expanded Contact Investigaton'!$K$266:$K$269)/8</f>
        <v>0</v>
      </c>
      <c r="M284" s="246">
        <f>SUMPRODUCT(--('Testing CHW LTCF Employees+Res'!$G$338:$G$341=I284),'Testing CHW LTCF Employees+Res'!$K$338:$K$341)/8</f>
        <v>0</v>
      </c>
      <c r="N284" s="246">
        <f>SUMPRODUCT(--('Testing Hospital Employees'!$G$326:$G$329=I284),'Testing Hospital Employees'!$K$326:$K$329)/8</f>
        <v>0</v>
      </c>
      <c r="O284" s="246">
        <f>SUMPRODUCT(--('Testing Essential Workers'!$G$337:$G$340=I284),'Testing Essential Workers'!$K$337:$K$340)/8</f>
        <v>0</v>
      </c>
      <c r="P284" s="246">
        <f>SUMPRODUCT(--('Testing Schoolchildren &amp; Staff'!$G$337:$G$340=I284),'Testing Schoolchildren &amp; Staff'!$K$337:$K$340)/8</f>
        <v>0</v>
      </c>
      <c r="Q284"/>
      <c r="R284"/>
      <c r="S284"/>
    </row>
    <row r="285" spans="9:19" ht="20.100000000000001" customHeight="1">
      <c r="I285" s="217" t="s">
        <v>353</v>
      </c>
      <c r="J285" s="246">
        <f>SUMPRODUCT(--('Current Strategy'!$G$288:$G$291=I285),'Current Strategy'!$K$288:$K$291)/8</f>
        <v>0</v>
      </c>
      <c r="K285" s="246">
        <f t="shared" si="42"/>
        <v>0</v>
      </c>
      <c r="L285" s="246">
        <f>SUMPRODUCT(--('Expanded Contact Investigaton'!$G$266:$G$269=I285),'Expanded Contact Investigaton'!$K$266:$K$269)/8</f>
        <v>0</v>
      </c>
      <c r="M285" s="246">
        <f>SUMPRODUCT(--('Testing CHW LTCF Employees+Res'!$G$338:$G$341=I285),'Testing CHW LTCF Employees+Res'!$K$338:$K$341)/8</f>
        <v>0</v>
      </c>
      <c r="N285" s="246">
        <f>SUMPRODUCT(--('Testing Hospital Employees'!$G$326:$G$329=I285),'Testing Hospital Employees'!$K$326:$K$329)/8</f>
        <v>0</v>
      </c>
      <c r="O285" s="246">
        <f>SUMPRODUCT(--('Testing Essential Workers'!$G$337:$G$340=I285),'Testing Essential Workers'!$K$337:$K$340)/8</f>
        <v>0</v>
      </c>
      <c r="P285" s="246">
        <f>SUMPRODUCT(--('Testing Schoolchildren &amp; Staff'!$G$337:$G$340=I285),'Testing Schoolchildren &amp; Staff'!$K$337:$K$340)/8</f>
        <v>0</v>
      </c>
      <c r="Q285"/>
      <c r="R285"/>
      <c r="S285"/>
    </row>
    <row r="286" spans="9:19" ht="16.5" thickBot="1">
      <c r="I286" s="224" t="s">
        <v>230</v>
      </c>
      <c r="J286" s="247">
        <f>SUMPRODUCT(--('Current Strategy'!$G$288:$G$291=I286),'Current Strategy'!$K$288:$K$291)/8</f>
        <v>0</v>
      </c>
      <c r="K286" s="247">
        <f t="shared" si="42"/>
        <v>0</v>
      </c>
      <c r="L286" s="247">
        <f>SUMPRODUCT(--('Expanded Contact Investigaton'!$G$266:$G$269=I286),'Expanded Contact Investigaton'!$K$266:$K$269)/8</f>
        <v>0</v>
      </c>
      <c r="M286" s="247">
        <f>SUMPRODUCT(--('Testing CHW LTCF Employees+Res'!$G$338:$G$341=I286),'Testing CHW LTCF Employees+Res'!$K$338:$K$341)/8</f>
        <v>0</v>
      </c>
      <c r="N286" s="247">
        <f>SUMPRODUCT(--('Testing Hospital Employees'!$G$326:$G$329=I286),'Testing Hospital Employees'!$K$326:$K$329)/8</f>
        <v>0</v>
      </c>
      <c r="O286" s="247">
        <f>SUMPRODUCT(--('Testing Essential Workers'!$G$337:$G$340=I286),'Testing Essential Workers'!$K$337:$K$340)/8</f>
        <v>0</v>
      </c>
      <c r="P286" s="247">
        <f>SUMPRODUCT(--('Testing Schoolchildren &amp; Staff'!$G$337:$G$340=I286),'Testing Schoolchildren &amp; Staff'!$K$337:$K$340)/8</f>
        <v>0</v>
      </c>
      <c r="Q286"/>
      <c r="R286"/>
      <c r="S286"/>
    </row>
    <row r="287" spans="9:19" ht="16.5" thickBot="1">
      <c r="P287"/>
      <c r="Q287"/>
      <c r="R287"/>
      <c r="S287"/>
    </row>
    <row r="288" spans="9:19" ht="20.100000000000001" customHeight="1" thickBot="1">
      <c r="I288" s="453" t="s">
        <v>486</v>
      </c>
      <c r="J288" s="454"/>
      <c r="K288" s="454"/>
      <c r="L288" s="454"/>
      <c r="M288" s="454"/>
      <c r="N288" s="454"/>
      <c r="O288" s="454"/>
      <c r="P288" s="455"/>
      <c r="Q288"/>
      <c r="R288"/>
      <c r="S288"/>
    </row>
    <row r="289" spans="9:19" ht="16.5" thickBot="1">
      <c r="P289"/>
      <c r="Q289"/>
      <c r="R289"/>
      <c r="S289"/>
    </row>
    <row r="290" spans="9:19" ht="63.75" thickBot="1">
      <c r="I290" s="100" t="s">
        <v>472</v>
      </c>
      <c r="J290" s="433" t="s">
        <v>217</v>
      </c>
      <c r="K290" s="433" t="s">
        <v>591</v>
      </c>
      <c r="L290" s="433" t="s">
        <v>218</v>
      </c>
      <c r="M290" s="449" t="s">
        <v>282</v>
      </c>
      <c r="N290" s="449" t="s">
        <v>265</v>
      </c>
      <c r="O290" s="449" t="s">
        <v>219</v>
      </c>
      <c r="P290" s="450" t="s">
        <v>596</v>
      </c>
      <c r="Q290"/>
      <c r="R290"/>
      <c r="S290"/>
    </row>
    <row r="291" spans="9:19">
      <c r="I291" t="s">
        <v>469</v>
      </c>
      <c r="J291" s="250">
        <f t="shared" ref="J291:P291" si="43">SUM(J267,J269,J271,J273,J278,J279,J283,J284,J277,J276)</f>
        <v>7.3065140700017225E-2</v>
      </c>
      <c r="K291" s="250">
        <f t="shared" si="43"/>
        <v>0.25268418831906486</v>
      </c>
      <c r="L291" s="250">
        <f t="shared" si="43"/>
        <v>0.17961904761904762</v>
      </c>
      <c r="M291" s="258">
        <f t="shared" si="43"/>
        <v>5.3503368571428567E-2</v>
      </c>
      <c r="N291" s="258">
        <f t="shared" si="43"/>
        <v>5.3503368571428567E-2</v>
      </c>
      <c r="O291" s="258">
        <f t="shared" si="43"/>
        <v>5.0023333333333329E-2</v>
      </c>
      <c r="P291" s="250">
        <f t="shared" si="43"/>
        <v>4.8937994285714284E-2</v>
      </c>
      <c r="Q291"/>
      <c r="R291"/>
      <c r="S291"/>
    </row>
    <row r="292" spans="9:19">
      <c r="I292" t="s">
        <v>470</v>
      </c>
      <c r="J292" s="250">
        <f t="shared" ref="J292:P292" si="44">SUM(J266,J285,J286)</f>
        <v>0.23549869798493506</v>
      </c>
      <c r="K292" s="250">
        <f t="shared" si="44"/>
        <v>0.46692726941350648</v>
      </c>
      <c r="L292" s="250">
        <f t="shared" si="44"/>
        <v>0.2314285714285714</v>
      </c>
      <c r="M292" s="258">
        <f t="shared" si="44"/>
        <v>0.23827798571428571</v>
      </c>
      <c r="N292" s="258">
        <f t="shared" si="44"/>
        <v>0.23827798571428571</v>
      </c>
      <c r="O292" s="258">
        <f t="shared" si="44"/>
        <v>0.2379738095238095</v>
      </c>
      <c r="P292" s="250">
        <f t="shared" si="44"/>
        <v>0.23850939999999995</v>
      </c>
      <c r="Q292"/>
      <c r="R292"/>
      <c r="S292"/>
    </row>
    <row r="293" spans="9:19" ht="16.5" thickBot="1">
      <c r="I293" s="241" t="s">
        <v>471</v>
      </c>
      <c r="J293" s="251">
        <f t="shared" ref="J293:P293" si="45">SUM(J270,J275,J280,J281,J282)</f>
        <v>0</v>
      </c>
      <c r="K293" s="251">
        <f t="shared" si="45"/>
        <v>0</v>
      </c>
      <c r="L293" s="251">
        <f t="shared" si="45"/>
        <v>0</v>
      </c>
      <c r="M293" s="259">
        <f t="shared" si="45"/>
        <v>0</v>
      </c>
      <c r="N293" s="259">
        <f t="shared" si="45"/>
        <v>0</v>
      </c>
      <c r="O293" s="259">
        <f t="shared" si="45"/>
        <v>0</v>
      </c>
      <c r="P293" s="251">
        <f t="shared" si="45"/>
        <v>0</v>
      </c>
      <c r="Q293"/>
      <c r="R293"/>
      <c r="S293"/>
    </row>
    <row r="294" spans="9:19" ht="20.100000000000001" customHeight="1" thickBot="1">
      <c r="P294"/>
      <c r="Q294"/>
      <c r="R294"/>
      <c r="S294"/>
    </row>
    <row r="295" spans="9:19" ht="20.100000000000001" customHeight="1" thickBot="1">
      <c r="I295" s="459" t="s">
        <v>487</v>
      </c>
      <c r="J295" s="460"/>
      <c r="K295" s="460"/>
      <c r="L295" s="460"/>
      <c r="M295" s="460"/>
      <c r="N295" s="460"/>
      <c r="O295" s="460"/>
      <c r="P295" s="461"/>
      <c r="Q295"/>
      <c r="R295"/>
      <c r="S295"/>
    </row>
    <row r="296" spans="9:19" ht="16.5" thickBot="1">
      <c r="I296" s="130"/>
      <c r="J296" s="151"/>
      <c r="K296" s="151"/>
      <c r="L296" s="151"/>
      <c r="M296" s="151"/>
      <c r="N296" s="151"/>
      <c r="O296" s="151"/>
      <c r="P296" s="151"/>
      <c r="Q296"/>
      <c r="R296"/>
      <c r="S296"/>
    </row>
    <row r="297" spans="9:19" ht="63.75" thickBot="1">
      <c r="I297" s="100" t="s">
        <v>448</v>
      </c>
      <c r="J297" s="433" t="s">
        <v>217</v>
      </c>
      <c r="K297" s="433" t="s">
        <v>591</v>
      </c>
      <c r="L297" s="433" t="s">
        <v>218</v>
      </c>
      <c r="M297" s="449" t="s">
        <v>282</v>
      </c>
      <c r="N297" s="449" t="s">
        <v>265</v>
      </c>
      <c r="O297" s="449" t="s">
        <v>219</v>
      </c>
      <c r="P297" s="450" t="s">
        <v>596</v>
      </c>
      <c r="Q297"/>
      <c r="R297"/>
      <c r="S297"/>
    </row>
    <row r="298" spans="9:19">
      <c r="I298" s="217" t="s">
        <v>14</v>
      </c>
      <c r="J298" s="253">
        <f>SUMPRODUCT(--('Current Strategy'!$G$292:$G$302=I298),'Current Strategy'!$K$292:$K$302)/8</f>
        <v>0.1752211360180741</v>
      </c>
      <c r="K298" s="253">
        <f t="shared" ref="K298:K318" si="46">J298+L298</f>
        <v>1.9766694866674248</v>
      </c>
      <c r="L298" s="253">
        <f>SUMPRODUCT(--('Expanded Contact Investigaton'!$G$270:$G$285=I298),'Expanded Contact Investigaton'!$K$270:$K$285)/8</f>
        <v>1.8014483506493506</v>
      </c>
      <c r="M298" s="253">
        <f>SUMPRODUCT(--('Testing CHW LTCF Employees+Res'!$G$342:$G$353=I298),'Testing CHW LTCF Employees+Res'!$K$342:$K$353)/8</f>
        <v>4.7865785454545451E-2</v>
      </c>
      <c r="N298" s="253">
        <f>SUMPRODUCT(--('Testing Hospital Employees'!$G$330:$G$341=I298),'Testing Hospital Employees'!$K$330:$K$341)/8</f>
        <v>4.7865785454545451E-2</v>
      </c>
      <c r="O298" s="253">
        <f>SUMPRODUCT(--('Testing Essential Workers'!$G$341:$G$362=I298),'Testing Essential Workers'!$K$341:$K$362)/8</f>
        <v>1.9846789090909093E-2</v>
      </c>
      <c r="P298" s="253">
        <f>SUMPRODUCT(--('Testing Schoolchildren &amp; Staff'!$G$341:$G$362=I298),'Testing Schoolchildren &amp; Staff'!$K$341:$K$362)/8</f>
        <v>1.0117970909090907E-2</v>
      </c>
      <c r="Q298"/>
      <c r="R298"/>
      <c r="S298"/>
    </row>
    <row r="299" spans="9:19">
      <c r="I299" s="217" t="s">
        <v>17</v>
      </c>
      <c r="J299" s="246">
        <f>SUMPRODUCT(--('Current Strategy'!$G$292:$G$302=I299),'Current Strategy'!$K$292:$K$302)/8</f>
        <v>0.13631835579090862</v>
      </c>
      <c r="K299" s="246">
        <f t="shared" si="46"/>
        <v>1.0269879476276433</v>
      </c>
      <c r="L299" s="246">
        <f>SUMPRODUCT(--('Expanded Contact Investigaton'!$G$270:$G$285=I299),'Expanded Contact Investigaton'!$K$270:$K$285)/8</f>
        <v>0.89066959183673466</v>
      </c>
      <c r="M299" s="246">
        <f>SUMPRODUCT(--('Testing CHW LTCF Employees+Res'!$G$342:$G$353=I299),'Testing CHW LTCF Employees+Res'!$K$342:$K$353)/8</f>
        <v>1.5375E-2</v>
      </c>
      <c r="N299" s="246">
        <f>SUMPRODUCT(--('Testing Hospital Employees'!$G$330:$G$341=I299),'Testing Hospital Employees'!$K$330:$K$341)/8</f>
        <v>1.5375E-2</v>
      </c>
      <c r="O299" s="246">
        <f>SUMPRODUCT(--('Testing Essential Workers'!$G$341:$G$362=I299),'Testing Essential Workers'!$K$341:$K$362)/8</f>
        <v>6.3750000000000005E-3</v>
      </c>
      <c r="P299" s="246">
        <f>SUMPRODUCT(--('Testing Schoolchildren &amp; Staff'!$G$341:$G$362=I299),'Testing Schoolchildren &amp; Staff'!$K$341:$K$362)/8</f>
        <v>3.2499999999999999E-3</v>
      </c>
      <c r="Q299"/>
      <c r="R299"/>
      <c r="S299"/>
    </row>
    <row r="300" spans="9:19">
      <c r="I300" s="217" t="s">
        <v>12</v>
      </c>
      <c r="J300" s="246">
        <f>SUMPRODUCT(--('Current Strategy'!$G$292:$G$302=I300),'Current Strategy'!$K$292:$K$302)/8</f>
        <v>0</v>
      </c>
      <c r="K300" s="246">
        <f t="shared" si="46"/>
        <v>0</v>
      </c>
      <c r="L300" s="246">
        <f>SUMPRODUCT(--('Expanded Contact Investigaton'!$G$270:$G$285=I300),'Expanded Contact Investigaton'!$K$270:$K$285)/8</f>
        <v>0</v>
      </c>
      <c r="M300" s="246">
        <f>SUMPRODUCT(--('Testing CHW LTCF Employees+Res'!$G$342:$G$353=I300),'Testing CHW LTCF Employees+Res'!$K$342:$K$353)/8</f>
        <v>0</v>
      </c>
      <c r="N300" s="246">
        <f>SUMPRODUCT(--('Testing Hospital Employees'!$G$330:$G$341=I300),'Testing Hospital Employees'!$K$330:$K$341)/8</f>
        <v>0</v>
      </c>
      <c r="O300" s="246">
        <f>SUMPRODUCT(--('Testing Essential Workers'!$G$341:$G$362=I300),'Testing Essential Workers'!$K$341:$K$362)/8</f>
        <v>0</v>
      </c>
      <c r="P300" s="246">
        <f>SUMPRODUCT(--('Testing Schoolchildren &amp; Staff'!$G$341:$G$362=I300),'Testing Schoolchildren &amp; Staff'!$K$341:$K$362)/8</f>
        <v>0</v>
      </c>
      <c r="Q300"/>
      <c r="R300"/>
      <c r="S300"/>
    </row>
    <row r="301" spans="9:19" ht="20.100000000000001" customHeight="1">
      <c r="I301" s="217" t="s">
        <v>13</v>
      </c>
      <c r="J301" s="246">
        <f>SUMPRODUCT(--('Current Strategy'!$G$292:$G$302=I301),'Current Strategy'!$K$292:$K$302)/8</f>
        <v>0</v>
      </c>
      <c r="K301" s="246">
        <f t="shared" si="46"/>
        <v>0</v>
      </c>
      <c r="L301" s="246">
        <f>SUMPRODUCT(--('Expanded Contact Investigaton'!$G$270:$G$285=I301),'Expanded Contact Investigaton'!$K$270:$K$285)/8</f>
        <v>0</v>
      </c>
      <c r="M301" s="246">
        <f>SUMPRODUCT(--('Testing CHW LTCF Employees+Res'!$G$342:$G$353=I301),'Testing CHW LTCF Employees+Res'!$K$342:$K$353)/8</f>
        <v>0</v>
      </c>
      <c r="N301" s="246">
        <f>SUMPRODUCT(--('Testing Hospital Employees'!$G$330:$G$341=I301),'Testing Hospital Employees'!$K$330:$K$341)/8</f>
        <v>0</v>
      </c>
      <c r="O301" s="246">
        <f>SUMPRODUCT(--('Testing Essential Workers'!$G$341:$G$362=I301),'Testing Essential Workers'!$K$341:$K$362)/8</f>
        <v>0</v>
      </c>
      <c r="P301" s="246">
        <f>SUMPRODUCT(--('Testing Schoolchildren &amp; Staff'!$G$341:$G$362=I301),'Testing Schoolchildren &amp; Staff'!$K$341:$K$362)/8</f>
        <v>0</v>
      </c>
      <c r="Q301"/>
      <c r="R301"/>
      <c r="S301"/>
    </row>
    <row r="302" spans="9:19">
      <c r="I302" s="217" t="s">
        <v>27</v>
      </c>
      <c r="J302" s="246">
        <f>SUMPRODUCT(--('Current Strategy'!$G$292:$G$302=I302),'Current Strategy'!$K$292:$K$302)/8</f>
        <v>0</v>
      </c>
      <c r="K302" s="246">
        <f t="shared" si="46"/>
        <v>0</v>
      </c>
      <c r="L302" s="246">
        <f>SUMPRODUCT(--('Expanded Contact Investigaton'!$G$270:$G$285=I302),'Expanded Contact Investigaton'!$K$270:$K$285)/8</f>
        <v>0</v>
      </c>
      <c r="M302" s="246">
        <f>SUMPRODUCT(--('Testing CHW LTCF Employees+Res'!$G$342:$G$353=I302),'Testing CHW LTCF Employees+Res'!$K$342:$K$353)/8</f>
        <v>0</v>
      </c>
      <c r="N302" s="246">
        <f>SUMPRODUCT(--('Testing Hospital Employees'!$G$330:$G$341=I302),'Testing Hospital Employees'!$K$330:$K$341)/8</f>
        <v>0</v>
      </c>
      <c r="O302" s="246">
        <f>SUMPRODUCT(--('Testing Essential Workers'!$G$341:$G$362=I302),'Testing Essential Workers'!$K$341:$K$362)/8</f>
        <v>0</v>
      </c>
      <c r="P302" s="246">
        <f>SUMPRODUCT(--('Testing Schoolchildren &amp; Staff'!$G$341:$G$362=I302),'Testing Schoolchildren &amp; Staff'!$K$341:$K$362)/8</f>
        <v>0</v>
      </c>
      <c r="Q302"/>
      <c r="R302"/>
      <c r="S302"/>
    </row>
    <row r="303" spans="9:19">
      <c r="I303" s="217" t="s">
        <v>6</v>
      </c>
      <c r="J303" s="246">
        <f>SUMPRODUCT(--('Current Strategy'!$G$292:$G$302=I303),'Current Strategy'!$K$292:$K$302)/8</f>
        <v>0</v>
      </c>
      <c r="K303" s="246">
        <f t="shared" si="46"/>
        <v>0</v>
      </c>
      <c r="L303" s="246">
        <f>SUMPRODUCT(--('Expanded Contact Investigaton'!$G$270:$G$285=I303),'Expanded Contact Investigaton'!$K$270:$K$285)/8</f>
        <v>0</v>
      </c>
      <c r="M303" s="246">
        <f>SUMPRODUCT(--('Testing CHW LTCF Employees+Res'!$G$342:$G$353=I303),'Testing CHW LTCF Employees+Res'!$K$342:$K$353)/8</f>
        <v>0</v>
      </c>
      <c r="N303" s="246">
        <f>SUMPRODUCT(--('Testing Hospital Employees'!$G$330:$G$341=I303),'Testing Hospital Employees'!$K$330:$K$341)/8</f>
        <v>0</v>
      </c>
      <c r="O303" s="246">
        <f>SUMPRODUCT(--('Testing Essential Workers'!$G$341:$G$362=I303),'Testing Essential Workers'!$K$341:$K$362)/8</f>
        <v>0</v>
      </c>
      <c r="P303" s="246">
        <f>SUMPRODUCT(--('Testing Schoolchildren &amp; Staff'!$G$341:$G$362=I303),'Testing Schoolchildren &amp; Staff'!$K$341:$K$362)/8</f>
        <v>0</v>
      </c>
      <c r="Q303"/>
      <c r="R303"/>
      <c r="S303"/>
    </row>
    <row r="304" spans="9:19">
      <c r="I304" s="217" t="s">
        <v>21</v>
      </c>
      <c r="J304" s="246">
        <f>SUMPRODUCT(--('Current Strategy'!$G$292:$G$302=I304),'Current Strategy'!$K$292:$K$302)/8</f>
        <v>0</v>
      </c>
      <c r="K304" s="246">
        <f t="shared" si="46"/>
        <v>0</v>
      </c>
      <c r="L304" s="246">
        <f>SUMPRODUCT(--('Expanded Contact Investigaton'!$G$270:$G$285=I304),'Expanded Contact Investigaton'!$K$270:$K$285)/8</f>
        <v>0</v>
      </c>
      <c r="M304" s="246">
        <f>SUMPRODUCT(--('Testing CHW LTCF Employees+Res'!$G$342:$G$353=I304),'Testing CHW LTCF Employees+Res'!$K$342:$K$353)/8</f>
        <v>0</v>
      </c>
      <c r="N304" s="246">
        <f>SUMPRODUCT(--('Testing Hospital Employees'!$G$330:$G$341=I304),'Testing Hospital Employees'!$K$330:$K$341)/8</f>
        <v>0</v>
      </c>
      <c r="O304" s="246">
        <f>SUMPRODUCT(--('Testing Essential Workers'!$G$341:$G$362=I304),'Testing Essential Workers'!$K$341:$K$362)/8</f>
        <v>0</v>
      </c>
      <c r="P304" s="246">
        <f>SUMPRODUCT(--('Testing Schoolchildren &amp; Staff'!$G$341:$G$362=I304),'Testing Schoolchildren &amp; Staff'!$K$341:$K$362)/8</f>
        <v>0</v>
      </c>
      <c r="Q304"/>
      <c r="R304"/>
      <c r="S304"/>
    </row>
    <row r="305" spans="9:19">
      <c r="I305" s="221" t="s">
        <v>386</v>
      </c>
      <c r="J305" s="246">
        <f>SUMPRODUCT(--('Current Strategy'!$G$292:$G$302=I305),'Current Strategy'!$K$292:$K$302)/8</f>
        <v>0</v>
      </c>
      <c r="K305" s="246">
        <f t="shared" si="46"/>
        <v>0</v>
      </c>
      <c r="L305" s="246">
        <f>SUMPRODUCT(--('Expanded Contact Investigaton'!$G$270:$G$285=I305),'Expanded Contact Investigaton'!$K$270:$K$285)/8</f>
        <v>0</v>
      </c>
      <c r="M305" s="246">
        <f>SUMPRODUCT(--('Testing CHW LTCF Employees+Res'!$G$342:$G$353=I305),'Testing CHW LTCF Employees+Res'!$K$342:$K$353)/8</f>
        <v>0</v>
      </c>
      <c r="N305" s="246">
        <f>SUMPRODUCT(--('Testing Hospital Employees'!$G$330:$G$341=I305),'Testing Hospital Employees'!$K$330:$K$341)/8</f>
        <v>0</v>
      </c>
      <c r="O305" s="246">
        <f>SUMPRODUCT(--('Testing Essential Workers'!$G$341:$G$362=I305),'Testing Essential Workers'!$K$341:$K$362)/8</f>
        <v>0</v>
      </c>
      <c r="P305" s="246">
        <f>SUMPRODUCT(--('Testing Schoolchildren &amp; Staff'!$G$341:$G$362=I305),'Testing Schoolchildren &amp; Staff'!$K$341:$K$362)/8</f>
        <v>0</v>
      </c>
      <c r="Q305"/>
      <c r="R305"/>
      <c r="S305"/>
    </row>
    <row r="306" spans="9:19">
      <c r="I306" s="217" t="s">
        <v>325</v>
      </c>
      <c r="J306" s="246">
        <f>SUMPRODUCT(--('Current Strategy'!$G$292:$G$302=I306),'Current Strategy'!$K$292:$K$302)/8</f>
        <v>0</v>
      </c>
      <c r="K306" s="246">
        <f t="shared" si="46"/>
        <v>0</v>
      </c>
      <c r="L306" s="246">
        <f>SUMPRODUCT(--('Expanded Contact Investigaton'!$G$270:$G$285=I306),'Expanded Contact Investigaton'!$K$270:$K$285)/8</f>
        <v>0</v>
      </c>
      <c r="M306" s="246">
        <f>SUMPRODUCT(--('Testing CHW LTCF Employees+Res'!$G$342:$G$353=I306),'Testing CHW LTCF Employees+Res'!$K$342:$K$353)/8</f>
        <v>0</v>
      </c>
      <c r="N306" s="246">
        <f>SUMPRODUCT(--('Testing Hospital Employees'!$G$330:$G$341=I306),'Testing Hospital Employees'!$K$330:$K$341)/8</f>
        <v>0</v>
      </c>
      <c r="O306" s="246">
        <f>SUMPRODUCT(--('Testing Essential Workers'!$G$341:$G$362=I306),'Testing Essential Workers'!$K$341:$K$362)/8</f>
        <v>0</v>
      </c>
      <c r="P306" s="246">
        <f>SUMPRODUCT(--('Testing Schoolchildren &amp; Staff'!$G$341:$G$362=I306),'Testing Schoolchildren &amp; Staff'!$K$341:$K$362)/8</f>
        <v>0</v>
      </c>
      <c r="Q306"/>
      <c r="R306"/>
      <c r="S306"/>
    </row>
    <row r="307" spans="9:19">
      <c r="I307" s="217" t="s">
        <v>31</v>
      </c>
      <c r="J307" s="246">
        <f>SUMPRODUCT(--('Current Strategy'!$G$292:$G$302=I307),'Current Strategy'!$K$292:$K$302)/8</f>
        <v>0</v>
      </c>
      <c r="K307" s="246">
        <f t="shared" si="46"/>
        <v>0</v>
      </c>
      <c r="L307" s="246">
        <f>SUMPRODUCT(--('Expanded Contact Investigaton'!$G$270:$G$285=I307),'Expanded Contact Investigaton'!$K$270:$K$285)/8</f>
        <v>0</v>
      </c>
      <c r="M307" s="246">
        <f>SUMPRODUCT(--('Testing CHW LTCF Employees+Res'!$G$342:$G$353=I307),'Testing CHW LTCF Employees+Res'!$K$342:$K$353)/8</f>
        <v>0</v>
      </c>
      <c r="N307" s="246">
        <f>SUMPRODUCT(--('Testing Hospital Employees'!$G$330:$G$341=I307),'Testing Hospital Employees'!$K$330:$K$341)/8</f>
        <v>0</v>
      </c>
      <c r="O307" s="246">
        <f>SUMPRODUCT(--('Testing Essential Workers'!$G$341:$G$362=I307),'Testing Essential Workers'!$K$341:$K$362)/8</f>
        <v>0</v>
      </c>
      <c r="P307" s="246">
        <f>SUMPRODUCT(--('Testing Schoolchildren &amp; Staff'!$G$341:$G$362=I307),'Testing Schoolchildren &amp; Staff'!$K$341:$K$362)/8</f>
        <v>0</v>
      </c>
      <c r="Q307"/>
      <c r="R307"/>
      <c r="S307"/>
    </row>
    <row r="308" spans="9:19">
      <c r="I308" s="217" t="s">
        <v>40</v>
      </c>
      <c r="J308" s="246">
        <f>SUMPRODUCT(--('Current Strategy'!$G$292:$G$302=I308),'Current Strategy'!$K$292:$K$302)/8</f>
        <v>7.7884872952245689E-3</v>
      </c>
      <c r="K308" s="246">
        <f t="shared" si="46"/>
        <v>4.3779178204315483E-2</v>
      </c>
      <c r="L308" s="246">
        <f>SUMPRODUCT(--('Expanded Contact Investigaton'!$G$270:$G$285=I308),'Expanded Contact Investigaton'!$K$270:$K$285)/8</f>
        <v>3.5990690909090912E-2</v>
      </c>
      <c r="M308" s="246">
        <f>SUMPRODUCT(--('Testing CHW LTCF Employees+Res'!$G$342:$G$353=I308),'Testing CHW LTCF Employees+Res'!$K$342:$K$353)/8</f>
        <v>0</v>
      </c>
      <c r="N308" s="246">
        <f>SUMPRODUCT(--('Testing Hospital Employees'!$G$330:$G$341=I308),'Testing Hospital Employees'!$K$330:$K$341)/8</f>
        <v>0</v>
      </c>
      <c r="O308" s="246">
        <f>SUMPRODUCT(--('Testing Essential Workers'!$G$341:$G$362=I308),'Testing Essential Workers'!$K$341:$K$362)/8</f>
        <v>6.5554472727272727E-4</v>
      </c>
      <c r="P308" s="246">
        <f>SUMPRODUCT(--('Testing Schoolchildren &amp; Staff'!$G$341:$G$362=I308),'Testing Schoolchildren &amp; Staff'!$K$341:$K$362)/8</f>
        <v>3.3419927272727271E-4</v>
      </c>
      <c r="Q308"/>
      <c r="R308"/>
      <c r="S308"/>
    </row>
    <row r="309" spans="9:19">
      <c r="I309" s="217" t="s">
        <v>449</v>
      </c>
      <c r="J309" s="246">
        <f>SUMPRODUCT(--('Current Strategy'!$G$292:$G$302=I309),'Current Strategy'!$K$292:$K$302)/8</f>
        <v>0</v>
      </c>
      <c r="K309" s="246">
        <f t="shared" si="46"/>
        <v>0</v>
      </c>
      <c r="L309" s="246">
        <f>SUMPRODUCT(--('Expanded Contact Investigaton'!$G$270:$G$285=I309),'Expanded Contact Investigaton'!$K$270:$K$285)/8</f>
        <v>0</v>
      </c>
      <c r="M309" s="246">
        <f>SUMPRODUCT(--('Testing CHW LTCF Employees+Res'!$G$342:$G$353=I309),'Testing CHW LTCF Employees+Res'!$K$342:$K$353)/8</f>
        <v>0</v>
      </c>
      <c r="N309" s="246">
        <f>SUMPRODUCT(--('Testing Hospital Employees'!$G$330:$G$341=I309),'Testing Hospital Employees'!$K$330:$K$341)/8</f>
        <v>0</v>
      </c>
      <c r="O309" s="246">
        <f>SUMPRODUCT(--('Testing Essential Workers'!$G$341:$G$362=I309),'Testing Essential Workers'!$K$341:$K$362)/8</f>
        <v>0</v>
      </c>
      <c r="P309" s="246">
        <f>SUMPRODUCT(--('Testing Schoolchildren &amp; Staff'!$G$341:$G$362=I309),'Testing Schoolchildren &amp; Staff'!$K$341:$K$362)/8</f>
        <v>0</v>
      </c>
      <c r="Q309"/>
      <c r="R309"/>
      <c r="S309"/>
    </row>
    <row r="310" spans="9:19" ht="20.100000000000001" customHeight="1">
      <c r="I310" s="217" t="s">
        <v>323</v>
      </c>
      <c r="J310" s="246">
        <f>SUMPRODUCT(--('Current Strategy'!$G$292:$G$302=I310),'Current Strategy'!$K$292:$K$302)/8</f>
        <v>0</v>
      </c>
      <c r="K310" s="246">
        <f t="shared" si="46"/>
        <v>0</v>
      </c>
      <c r="L310" s="246">
        <f>SUMPRODUCT(--('Expanded Contact Investigaton'!$G$270:$G$285=I310),'Expanded Contact Investigaton'!$K$270:$K$285)/8</f>
        <v>0</v>
      </c>
      <c r="M310" s="246">
        <f>SUMPRODUCT(--('Testing CHW LTCF Employees+Res'!$G$342:$G$353=I310),'Testing CHW LTCF Employees+Res'!$K$342:$K$353)/8</f>
        <v>0</v>
      </c>
      <c r="N310" s="246">
        <f>SUMPRODUCT(--('Testing Hospital Employees'!$G$330:$G$341=I310),'Testing Hospital Employees'!$K$330:$K$341)/8</f>
        <v>0</v>
      </c>
      <c r="O310" s="246">
        <f>SUMPRODUCT(--('Testing Essential Workers'!$G$341:$G$362=I310),'Testing Essential Workers'!$K$341:$K$362)/8</f>
        <v>0</v>
      </c>
      <c r="P310" s="246">
        <f>SUMPRODUCT(--('Testing Schoolchildren &amp; Staff'!$G$341:$G$362=I310),'Testing Schoolchildren &amp; Staff'!$K$341:$K$362)/8</f>
        <v>0</v>
      </c>
      <c r="Q310"/>
      <c r="R310"/>
      <c r="S310"/>
    </row>
    <row r="311" spans="9:19">
      <c r="I311" s="217" t="s">
        <v>354</v>
      </c>
      <c r="J311" s="246">
        <f>SUMPRODUCT(--('Current Strategy'!$G$292:$G$302=I311),'Current Strategy'!$K$292:$K$302)/8</f>
        <v>0</v>
      </c>
      <c r="K311" s="246">
        <f t="shared" si="46"/>
        <v>0</v>
      </c>
      <c r="L311" s="246">
        <f>SUMPRODUCT(--('Expanded Contact Investigaton'!$G$270:$G$285=I311),'Expanded Contact Investigaton'!$K$270:$K$285)/8</f>
        <v>0</v>
      </c>
      <c r="M311" s="246">
        <f>SUMPRODUCT(--('Testing CHW LTCF Employees+Res'!$G$342:$G$353=I311),'Testing CHW LTCF Employees+Res'!$K$342:$K$353)/8</f>
        <v>0</v>
      </c>
      <c r="N311" s="246">
        <f>SUMPRODUCT(--('Testing Hospital Employees'!$G$330:$G$341=I311),'Testing Hospital Employees'!$K$330:$K$341)/8</f>
        <v>0</v>
      </c>
      <c r="O311" s="246">
        <f>SUMPRODUCT(--('Testing Essential Workers'!$G$341:$G$362=I311),'Testing Essential Workers'!$K$341:$K$362)/8</f>
        <v>0</v>
      </c>
      <c r="P311" s="246">
        <f>SUMPRODUCT(--('Testing Schoolchildren &amp; Staff'!$G$341:$G$362=I311),'Testing Schoolchildren &amp; Staff'!$K$341:$K$362)/8</f>
        <v>0</v>
      </c>
      <c r="Q311"/>
      <c r="R311"/>
      <c r="S311"/>
    </row>
    <row r="312" spans="9:19">
      <c r="I312" s="217" t="s">
        <v>32</v>
      </c>
      <c r="J312" s="246">
        <f>SUMPRODUCT(--('Current Strategy'!$G$292:$G$302=I312),'Current Strategy'!$K$292:$K$302)/8</f>
        <v>0</v>
      </c>
      <c r="K312" s="246">
        <f t="shared" si="46"/>
        <v>0</v>
      </c>
      <c r="L312" s="246">
        <f>SUMPRODUCT(--('Expanded Contact Investigaton'!$G$270:$G$285=I312),'Expanded Contact Investigaton'!$K$270:$K$285)/8</f>
        <v>0</v>
      </c>
      <c r="M312" s="246">
        <f>SUMPRODUCT(--('Testing CHW LTCF Employees+Res'!$G$342:$G$353=I312),'Testing CHW LTCF Employees+Res'!$K$342:$K$353)/8</f>
        <v>0</v>
      </c>
      <c r="N312" s="246">
        <f>SUMPRODUCT(--('Testing Hospital Employees'!$G$330:$G$341=I312),'Testing Hospital Employees'!$K$330:$K$341)/8</f>
        <v>0</v>
      </c>
      <c r="O312" s="246">
        <f>SUMPRODUCT(--('Testing Essential Workers'!$G$341:$G$362=I312),'Testing Essential Workers'!$K$341:$K$362)/8</f>
        <v>0</v>
      </c>
      <c r="P312" s="246">
        <f>SUMPRODUCT(--('Testing Schoolchildren &amp; Staff'!$G$341:$G$362=I312),'Testing Schoolchildren &amp; Staff'!$K$341:$K$362)/8</f>
        <v>0</v>
      </c>
      <c r="Q312"/>
      <c r="R312"/>
      <c r="S312"/>
    </row>
    <row r="313" spans="9:19">
      <c r="I313" s="217" t="s">
        <v>33</v>
      </c>
      <c r="J313" s="246">
        <f>SUMPRODUCT(--('Current Strategy'!$G$292:$G$302=I313),'Current Strategy'!$K$292:$K$302)/8</f>
        <v>0</v>
      </c>
      <c r="K313" s="246">
        <f t="shared" si="46"/>
        <v>0</v>
      </c>
      <c r="L313" s="246">
        <f>SUMPRODUCT(--('Expanded Contact Investigaton'!$G$270:$G$285=I313),'Expanded Contact Investigaton'!$K$270:$K$285)/8</f>
        <v>0</v>
      </c>
      <c r="M313" s="246">
        <f>SUMPRODUCT(--('Testing CHW LTCF Employees+Res'!$G$342:$G$353=I313),'Testing CHW LTCF Employees+Res'!$K$342:$K$353)/8</f>
        <v>0</v>
      </c>
      <c r="N313" s="246">
        <f>SUMPRODUCT(--('Testing Hospital Employees'!$G$330:$G$341=I313),'Testing Hospital Employees'!$K$330:$K$341)/8</f>
        <v>0</v>
      </c>
      <c r="O313" s="246">
        <f>SUMPRODUCT(--('Testing Essential Workers'!$G$341:$G$362=I313),'Testing Essential Workers'!$K$341:$K$362)/8</f>
        <v>0</v>
      </c>
      <c r="P313" s="246">
        <f>SUMPRODUCT(--('Testing Schoolchildren &amp; Staff'!$G$341:$G$362=I313),'Testing Schoolchildren &amp; Staff'!$K$341:$K$362)/8</f>
        <v>0</v>
      </c>
      <c r="Q313"/>
      <c r="R313"/>
      <c r="S313"/>
    </row>
    <row r="314" spans="9:19">
      <c r="I314" s="217" t="s">
        <v>34</v>
      </c>
      <c r="J314" s="246">
        <f>SUMPRODUCT(--('Current Strategy'!$G$292:$G$302=I314),'Current Strategy'!$K$292:$K$302)/8</f>
        <v>0</v>
      </c>
      <c r="K314" s="246">
        <f t="shared" si="46"/>
        <v>0</v>
      </c>
      <c r="L314" s="246">
        <f>SUMPRODUCT(--('Expanded Contact Investigaton'!$G$270:$G$285=I314),'Expanded Contact Investigaton'!$K$270:$K$285)/8</f>
        <v>0</v>
      </c>
      <c r="M314" s="246">
        <f>SUMPRODUCT(--('Testing CHW LTCF Employees+Res'!$G$342:$G$353=I314),'Testing CHW LTCF Employees+Res'!$K$342:$K$353)/8</f>
        <v>0</v>
      </c>
      <c r="N314" s="246">
        <f>SUMPRODUCT(--('Testing Hospital Employees'!$G$330:$G$341=I314),'Testing Hospital Employees'!$K$330:$K$341)/8</f>
        <v>0</v>
      </c>
      <c r="O314" s="246">
        <f>SUMPRODUCT(--('Testing Essential Workers'!$G$341:$G$362=I314),'Testing Essential Workers'!$K$341:$K$362)/8</f>
        <v>0</v>
      </c>
      <c r="P314" s="246">
        <f>SUMPRODUCT(--('Testing Schoolchildren &amp; Staff'!$G$341:$G$362=I314),'Testing Schoolchildren &amp; Staff'!$K$341:$K$362)/8</f>
        <v>0</v>
      </c>
      <c r="Q314"/>
      <c r="R314"/>
      <c r="S314"/>
    </row>
    <row r="315" spans="9:19">
      <c r="I315" s="217" t="s">
        <v>450</v>
      </c>
      <c r="J315" s="246">
        <f>SUMPRODUCT(--('Current Strategy'!$G$292:$G$302=I315),'Current Strategy'!$K$292:$K$302)/8</f>
        <v>3.8942436476122839E-2</v>
      </c>
      <c r="K315" s="246">
        <f t="shared" si="46"/>
        <v>0.21889589102157739</v>
      </c>
      <c r="L315" s="246">
        <f>SUMPRODUCT(--('Expanded Contact Investigaton'!$G$270:$G$285=I315),'Expanded Contact Investigaton'!$K$270:$K$285)/8</f>
        <v>0.17995345454545456</v>
      </c>
      <c r="M315" s="246">
        <f>SUMPRODUCT(--('Testing CHW LTCF Employees+Res'!$G$342:$G$353=I315),'Testing CHW LTCF Employees+Res'!$K$342:$K$353)/8</f>
        <v>7.9050981818181813E-3</v>
      </c>
      <c r="N315" s="246">
        <f>SUMPRODUCT(--('Testing Hospital Employees'!$G$330:$G$341=I315),'Testing Hospital Employees'!$K$330:$K$341)/8</f>
        <v>7.9050981818181813E-3</v>
      </c>
      <c r="O315" s="246">
        <f>SUMPRODUCT(--('Testing Essential Workers'!$G$341:$G$362=I315),'Testing Essential Workers'!$K$341:$K$362)/8</f>
        <v>0</v>
      </c>
      <c r="P315" s="246">
        <f>SUMPRODUCT(--('Testing Schoolchildren &amp; Staff'!$G$341:$G$362=I315),'Testing Schoolchildren &amp; Staff'!$K$341:$K$362)/8</f>
        <v>0</v>
      </c>
      <c r="Q315"/>
      <c r="R315"/>
      <c r="S315"/>
    </row>
    <row r="316" spans="9:19">
      <c r="I316" s="217" t="s">
        <v>180</v>
      </c>
      <c r="J316" s="246">
        <f>SUMPRODUCT(--('Current Strategy'!$G$292:$G$302=I316),'Current Strategy'!$K$292:$K$302)/8</f>
        <v>7.7884872952245689E-3</v>
      </c>
      <c r="K316" s="246">
        <f t="shared" si="46"/>
        <v>4.3779178204315483E-2</v>
      </c>
      <c r="L316" s="246">
        <f>SUMPRODUCT(--('Expanded Contact Investigaton'!$G$270:$G$285=I316),'Expanded Contact Investigaton'!$K$270:$K$285)/8</f>
        <v>3.5990690909090912E-2</v>
      </c>
      <c r="M316" s="246">
        <f>SUMPRODUCT(--('Testing CHW LTCF Employees+Res'!$G$342:$G$353=I316),'Testing CHW LTCF Employees+Res'!$K$342:$K$353)/8</f>
        <v>1.5810196363636364E-3</v>
      </c>
      <c r="N316" s="246">
        <f>SUMPRODUCT(--('Testing Hospital Employees'!$G$330:$G$341=I316),'Testing Hospital Employees'!$K$330:$K$341)/8</f>
        <v>1.5810196363636364E-3</v>
      </c>
      <c r="O316" s="246">
        <f>SUMPRODUCT(--('Testing Essential Workers'!$G$341:$G$362=I316),'Testing Essential Workers'!$K$341:$K$362)/8</f>
        <v>6.5554472727272727E-4</v>
      </c>
      <c r="P316" s="246">
        <f>SUMPRODUCT(--('Testing Schoolchildren &amp; Staff'!$G$341:$G$362=I316),'Testing Schoolchildren &amp; Staff'!$K$341:$K$362)/8</f>
        <v>3.3419927272727271E-4</v>
      </c>
      <c r="Q316"/>
      <c r="R316"/>
      <c r="S316"/>
    </row>
    <row r="317" spans="9:19">
      <c r="I317" s="217" t="s">
        <v>353</v>
      </c>
      <c r="J317" s="246">
        <f>SUMPRODUCT(--('Current Strategy'!$G$292:$G$302=I317),'Current Strategy'!$K$292:$K$302)/8</f>
        <v>2.3364612263409582E-2</v>
      </c>
      <c r="K317" s="246">
        <f t="shared" si="46"/>
        <v>0.13133275887626003</v>
      </c>
      <c r="L317" s="246">
        <f>SUMPRODUCT(--('Expanded Contact Investigaton'!$G$270:$G$285=I317),'Expanded Contact Investigaton'!$K$270:$K$285)/8</f>
        <v>0.10796814661285044</v>
      </c>
      <c r="M317" s="246">
        <f>SUMPRODUCT(--('Testing CHW LTCF Employees+Res'!$G$342:$G$353=I317),'Testing CHW LTCF Employees+Res'!$K$342:$K$353)/8</f>
        <v>4.7428864404930726E-3</v>
      </c>
      <c r="N317" s="246">
        <f>SUMPRODUCT(--('Testing Hospital Employees'!$G$330:$G$341=I317),'Testing Hospital Employees'!$K$330:$K$341)/8</f>
        <v>4.7428864404930726E-3</v>
      </c>
      <c r="O317" s="246">
        <f>SUMPRODUCT(--('Testing Essential Workers'!$G$341:$G$362=I317),'Testing Essential Workers'!$K$341:$K$362)/8</f>
        <v>1.9665626704483473E-3</v>
      </c>
      <c r="P317" s="246">
        <f>SUMPRODUCT(--('Testing Schoolchildren &amp; Staff'!$G$341:$G$362=I317),'Testing Schoolchildren &amp; Staff'!$K$341:$K$362)/8</f>
        <v>1.0025613614050397E-3</v>
      </c>
      <c r="Q317"/>
      <c r="R317"/>
      <c r="S317"/>
    </row>
    <row r="318" spans="9:19" ht="16.5" thickBot="1">
      <c r="I318" s="224" t="s">
        <v>230</v>
      </c>
      <c r="J318" s="247">
        <f>SUMPRODUCT(--('Current Strategy'!$G$292:$G$302=I318),'Current Strategy'!$K$292:$K$302)/8</f>
        <v>0</v>
      </c>
      <c r="K318" s="247">
        <f t="shared" si="46"/>
        <v>0</v>
      </c>
      <c r="L318" s="247">
        <f>SUMPRODUCT(--('Expanded Contact Investigaton'!$G$270:$G$285=I318),'Expanded Contact Investigaton'!$K$270:$K$285)/8</f>
        <v>0</v>
      </c>
      <c r="M318" s="247">
        <f>SUMPRODUCT(--('Testing CHW LTCF Employees+Res'!$G$342:$G$353=I318),'Testing CHW LTCF Employees+Res'!$K$342:$K$353)/8</f>
        <v>0</v>
      </c>
      <c r="N318" s="247">
        <f>SUMPRODUCT(--('Testing Hospital Employees'!$G$330:$G$341=I318),'Testing Hospital Employees'!$K$330:$K$341)/8</f>
        <v>0</v>
      </c>
      <c r="O318" s="247">
        <f>SUMPRODUCT(--('Testing Essential Workers'!$G$341:$G$362=I318),'Testing Essential Workers'!$K$341:$K$362)/8</f>
        <v>0</v>
      </c>
      <c r="P318" s="247">
        <f>SUMPRODUCT(--('Testing Schoolchildren &amp; Staff'!$G$341:$G$362=I318),'Testing Schoolchildren &amp; Staff'!$K$341:$K$362)/8</f>
        <v>0</v>
      </c>
      <c r="Q318"/>
      <c r="R318"/>
      <c r="S318"/>
    </row>
    <row r="319" spans="9:19" ht="16.5" thickBot="1">
      <c r="P319"/>
      <c r="Q319"/>
      <c r="R319"/>
      <c r="S319"/>
    </row>
    <row r="320" spans="9:19" ht="20.100000000000001" customHeight="1" thickBot="1">
      <c r="I320" s="459" t="s">
        <v>487</v>
      </c>
      <c r="J320" s="460"/>
      <c r="K320" s="460"/>
      <c r="L320" s="460"/>
      <c r="M320" s="460"/>
      <c r="N320" s="460"/>
      <c r="O320" s="460"/>
      <c r="P320" s="461"/>
      <c r="Q320"/>
      <c r="R320"/>
      <c r="S320"/>
    </row>
    <row r="321" spans="9:19" ht="16.5" thickBot="1">
      <c r="P321"/>
      <c r="Q321"/>
      <c r="R321"/>
      <c r="S321"/>
    </row>
    <row r="322" spans="9:19" ht="63.75" thickBot="1">
      <c r="I322" s="100" t="s">
        <v>472</v>
      </c>
      <c r="J322" s="433" t="s">
        <v>217</v>
      </c>
      <c r="K322" s="433" t="s">
        <v>591</v>
      </c>
      <c r="L322" s="433" t="s">
        <v>218</v>
      </c>
      <c r="M322" s="449" t="s">
        <v>282</v>
      </c>
      <c r="N322" s="449" t="s">
        <v>265</v>
      </c>
      <c r="O322" s="449" t="s">
        <v>219</v>
      </c>
      <c r="P322" s="450" t="s">
        <v>596</v>
      </c>
      <c r="Q322"/>
      <c r="R322"/>
      <c r="S322"/>
    </row>
    <row r="323" spans="9:19">
      <c r="I323" t="s">
        <v>469</v>
      </c>
      <c r="J323" s="250">
        <f t="shared" ref="J323:P323" si="47">SUM(J299,J301,J303,J305,J310,J311,J315,J316,J309,J308)</f>
        <v>0.19083776685748061</v>
      </c>
      <c r="K323" s="250">
        <f t="shared" si="47"/>
        <v>1.3334421950578519</v>
      </c>
      <c r="L323" s="250">
        <f t="shared" si="47"/>
        <v>1.1426044282003713</v>
      </c>
      <c r="M323" s="258">
        <f t="shared" si="47"/>
        <v>2.4861117818181816E-2</v>
      </c>
      <c r="N323" s="258">
        <f t="shared" si="47"/>
        <v>2.4861117818181816E-2</v>
      </c>
      <c r="O323" s="258">
        <f t="shared" si="47"/>
        <v>7.6860894545454552E-3</v>
      </c>
      <c r="P323" s="250">
        <f t="shared" si="47"/>
        <v>3.9183985454545453E-3</v>
      </c>
      <c r="Q323"/>
      <c r="R323"/>
      <c r="S323"/>
    </row>
    <row r="324" spans="9:19">
      <c r="I324" t="s">
        <v>470</v>
      </c>
      <c r="J324" s="250">
        <f t="shared" ref="J324:P324" si="48">SUM(J298,J317,J318)</f>
        <v>0.19858574828148368</v>
      </c>
      <c r="K324" s="250">
        <f t="shared" si="48"/>
        <v>2.1080022455436849</v>
      </c>
      <c r="L324" s="250">
        <f t="shared" si="48"/>
        <v>1.909416497262201</v>
      </c>
      <c r="M324" s="258">
        <f t="shared" si="48"/>
        <v>5.2608671895038525E-2</v>
      </c>
      <c r="N324" s="258">
        <f t="shared" si="48"/>
        <v>5.2608671895038525E-2</v>
      </c>
      <c r="O324" s="258">
        <f t="shared" si="48"/>
        <v>2.1813351761357441E-2</v>
      </c>
      <c r="P324" s="250">
        <f t="shared" si="48"/>
        <v>1.1120532270495948E-2</v>
      </c>
      <c r="Q324"/>
      <c r="R324"/>
      <c r="S324"/>
    </row>
    <row r="325" spans="9:19" ht="16.5" thickBot="1">
      <c r="I325" s="241" t="s">
        <v>471</v>
      </c>
      <c r="J325" s="251">
        <f t="shared" ref="J325:P325" si="49">SUM(J302,J307,J312,J313,J314)</f>
        <v>0</v>
      </c>
      <c r="K325" s="251">
        <f t="shared" si="49"/>
        <v>0</v>
      </c>
      <c r="L325" s="251">
        <f t="shared" si="49"/>
        <v>0</v>
      </c>
      <c r="M325" s="259">
        <f t="shared" si="49"/>
        <v>0</v>
      </c>
      <c r="N325" s="259">
        <f t="shared" si="49"/>
        <v>0</v>
      </c>
      <c r="O325" s="259">
        <f t="shared" si="49"/>
        <v>0</v>
      </c>
      <c r="P325" s="251">
        <f t="shared" si="49"/>
        <v>0</v>
      </c>
      <c r="Q325"/>
      <c r="R325"/>
      <c r="S325"/>
    </row>
    <row r="326" spans="9:19" ht="20.100000000000001" customHeight="1"/>
  </sheetData>
  <sheetProtection algorithmName="SHA-512" hashValue="NUjYDLafgYePB7pP09aqoTOkDf4kSKz8S1rFOO+ZQAtdOnFwXv8eXFCgC0K97TUHxYwS+2e5dtXqRw1NlK/RQA==" saltValue="q6aVwA1bjIufOY4axrESqg==" spinCount="100000" sheet="1" objects="1" scenarios="1"/>
  <scenarios current="0" show="0">
    <scenario name="LOW" locked="1" count="4" user="Aashna Uppal" comment="Created by Aashna Uppal on 2020-07-26">
      <inputCells r="D35" val="18.46"/>
      <inputCells r="D36" val="33.84"/>
      <inputCells r="D37" val="14.85"/>
      <inputCells r="D38" val="29.7"/>
    </scenario>
  </scenarios>
  <mergeCells count="51">
    <mergeCell ref="I133:P133"/>
    <mergeCell ref="I126:P126"/>
    <mergeCell ref="I101:P101"/>
    <mergeCell ref="I18:M18"/>
    <mergeCell ref="J21:M21"/>
    <mergeCell ref="J22:M22"/>
    <mergeCell ref="J23:M23"/>
    <mergeCell ref="J24:M24"/>
    <mergeCell ref="J20:M20"/>
    <mergeCell ref="J19:M19"/>
    <mergeCell ref="J25:M25"/>
    <mergeCell ref="B120:B122"/>
    <mergeCell ref="B123:B128"/>
    <mergeCell ref="B129:B133"/>
    <mergeCell ref="B21:C21"/>
    <mergeCell ref="B22:C22"/>
    <mergeCell ref="B23:C23"/>
    <mergeCell ref="B24:C24"/>
    <mergeCell ref="B26:D26"/>
    <mergeCell ref="B27:D27"/>
    <mergeCell ref="B30:G32"/>
    <mergeCell ref="B80:B87"/>
    <mergeCell ref="B97:B109"/>
    <mergeCell ref="B140:B159"/>
    <mergeCell ref="B8:C8"/>
    <mergeCell ref="B18:C18"/>
    <mergeCell ref="B19:C19"/>
    <mergeCell ref="B20:C20"/>
    <mergeCell ref="B9:C9"/>
    <mergeCell ref="B13:C13"/>
    <mergeCell ref="B16:C16"/>
    <mergeCell ref="B17:C17"/>
    <mergeCell ref="B15:C15"/>
    <mergeCell ref="B11:C11"/>
    <mergeCell ref="B12:C12"/>
    <mergeCell ref="B56:B79"/>
    <mergeCell ref="B110:B119"/>
    <mergeCell ref="B134:B139"/>
    <mergeCell ref="B88:B96"/>
    <mergeCell ref="B2:D2"/>
    <mergeCell ref="B4:C4"/>
    <mergeCell ref="B5:C5"/>
    <mergeCell ref="B6:C6"/>
    <mergeCell ref="B7:C7"/>
    <mergeCell ref="AP78:AV78"/>
    <mergeCell ref="B10:C10"/>
    <mergeCell ref="B14:C14"/>
    <mergeCell ref="B35:B55"/>
    <mergeCell ref="I54:P54"/>
    <mergeCell ref="AI78:AO78"/>
    <mergeCell ref="I56:P56"/>
  </mergeCells>
  <dataValidations count="3">
    <dataValidation type="list" allowBlank="1" showInputMessage="1" showErrorMessage="1" sqref="V19" xr:uid="{052DC532-A614-2F4B-8B09-E8EA21E2AD00}">
      <formula1>#REF!</formula1>
    </dataValidation>
    <dataValidation type="list" allowBlank="1" showInputMessage="1" showErrorMessage="1" sqref="V17" xr:uid="{77073191-26FA-9946-A779-EF31231C937D}">
      <formula1>$Q$18:$Q$19</formula1>
    </dataValidation>
    <dataValidation type="list" allowBlank="1" showInputMessage="1" showErrorMessage="1" sqref="V18 D23 D11:D21 D5:D9" xr:uid="{2A5B175B-CEAB-F54C-9339-698C4D4D496A}">
      <formula1>#REF!</formula1>
    </dataValidation>
  </dataValidations>
  <pageMargins left="0.7" right="0.7" top="0.75" bottom="0.75" header="0.3" footer="0.3"/>
  <pageSetup orientation="portrait" horizontalDpi="1200" verticalDpi="1200" r:id="rId1"/>
  <ignoredErrors>
    <ignoredError sqref="E86 E82 E12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38D9F-1A9C-7A47-8DF5-A8084592ECD4}">
  <dimension ref="B2:N321"/>
  <sheetViews>
    <sheetView zoomScale="91" zoomScaleNormal="70" workbookViewId="0">
      <selection activeCell="C4" sqref="C4"/>
    </sheetView>
  </sheetViews>
  <sheetFormatPr defaultColWidth="10.625" defaultRowHeight="15.75"/>
  <cols>
    <col min="1" max="1" width="4" style="1" customWidth="1"/>
    <col min="2" max="2" width="32.125" style="1" customWidth="1"/>
    <col min="3" max="3" width="23.125" style="1" customWidth="1"/>
    <col min="4" max="4" width="21.125" style="2" customWidth="1"/>
    <col min="5" max="5" width="11.375" style="21" bestFit="1" customWidth="1"/>
    <col min="6" max="6" width="15.625" style="2" customWidth="1"/>
    <col min="7" max="7" width="20.125" style="1" customWidth="1"/>
    <col min="8" max="8" width="11" style="3" bestFit="1" customWidth="1"/>
    <col min="9" max="9" width="11" style="32" customWidth="1"/>
    <col min="10" max="11" width="12.625" style="1" customWidth="1"/>
    <col min="12" max="12" width="19.125" style="4" customWidth="1"/>
    <col min="13" max="13" width="83.5" style="1" customWidth="1"/>
    <col min="14" max="14" width="127.5" style="84" customWidth="1"/>
    <col min="15" max="15" width="11.625" style="1" bestFit="1" customWidth="1"/>
    <col min="16" max="16384" width="10.625" style="1"/>
  </cols>
  <sheetData>
    <row r="2" spans="2:14" ht="20.100000000000001" customHeight="1">
      <c r="B2" s="551" t="s">
        <v>82</v>
      </c>
      <c r="C2" s="551"/>
      <c r="D2" s="551"/>
    </row>
    <row r="3" spans="2:14" ht="16.5" thickBot="1"/>
    <row r="4" spans="2:14" ht="19.350000000000001" customHeight="1">
      <c r="B4" s="38" t="s">
        <v>46</v>
      </c>
      <c r="C4" s="36">
        <f>DASHBOARD!D80</f>
        <v>1907</v>
      </c>
      <c r="D4" s="106"/>
    </row>
    <row r="5" spans="2:14" ht="28.5" customHeight="1">
      <c r="B5" s="44" t="s">
        <v>150</v>
      </c>
      <c r="C5" s="67">
        <f>DASHBOARD!D96</f>
        <v>86</v>
      </c>
      <c r="D5" s="106"/>
    </row>
    <row r="6" spans="2:14" ht="29.25" customHeight="1">
      <c r="B6" s="44" t="s">
        <v>151</v>
      </c>
      <c r="C6" s="67">
        <v>0</v>
      </c>
      <c r="D6" s="106"/>
    </row>
    <row r="7" spans="2:14">
      <c r="B7" s="39" t="s">
        <v>35</v>
      </c>
      <c r="C7" s="37">
        <f>DASHBOARD!D98</f>
        <v>1.0905468463272689E-2</v>
      </c>
      <c r="D7" s="106"/>
    </row>
    <row r="8" spans="2:14">
      <c r="B8" s="39" t="s">
        <v>161</v>
      </c>
      <c r="C8" s="37">
        <f>DASHBOARD!D104</f>
        <v>5</v>
      </c>
      <c r="D8" s="106"/>
    </row>
    <row r="9" spans="2:14" ht="32.25" thickBot="1">
      <c r="B9" s="40" t="s">
        <v>39</v>
      </c>
      <c r="C9" s="35" t="s">
        <v>149</v>
      </c>
      <c r="D9" s="106"/>
    </row>
    <row r="10" spans="2:14" ht="16.5" thickBot="1">
      <c r="B10" s="28"/>
      <c r="C10" s="28"/>
      <c r="D10" s="29"/>
      <c r="E10" s="18"/>
      <c r="F10" s="29"/>
      <c r="G10" s="28"/>
      <c r="H10" s="30"/>
      <c r="I10" s="33"/>
      <c r="J10" s="28"/>
      <c r="K10" s="28"/>
      <c r="L10" s="31"/>
      <c r="M10" s="28"/>
      <c r="N10" s="85"/>
    </row>
    <row r="11" spans="2:14" ht="63.75" thickBot="1">
      <c r="B11" s="45" t="s">
        <v>0</v>
      </c>
      <c r="C11" s="45" t="s">
        <v>43</v>
      </c>
      <c r="D11" s="45" t="s">
        <v>5</v>
      </c>
      <c r="E11" s="46" t="s">
        <v>1</v>
      </c>
      <c r="F11" s="45" t="s">
        <v>4</v>
      </c>
      <c r="G11" s="45" t="s">
        <v>19</v>
      </c>
      <c r="H11" s="47" t="s">
        <v>37</v>
      </c>
      <c r="I11" s="48" t="s">
        <v>42</v>
      </c>
      <c r="J11" s="45" t="s">
        <v>20</v>
      </c>
      <c r="K11" s="248" t="s">
        <v>459</v>
      </c>
      <c r="L11" s="49" t="s">
        <v>3</v>
      </c>
      <c r="M11" s="50" t="s">
        <v>36</v>
      </c>
      <c r="N11" s="86" t="s">
        <v>125</v>
      </c>
    </row>
    <row r="12" spans="2:14" ht="78.75">
      <c r="B12" s="15" t="s">
        <v>2</v>
      </c>
      <c r="C12" s="8">
        <f>C4</f>
        <v>1907</v>
      </c>
      <c r="D12" s="164">
        <v>1</v>
      </c>
      <c r="E12" s="19">
        <v>1</v>
      </c>
      <c r="F12" s="13">
        <v>1</v>
      </c>
      <c r="G12" s="41" t="s">
        <v>14</v>
      </c>
      <c r="H12" s="7">
        <f>DASHBOARD!D35</f>
        <v>24.612000000000002</v>
      </c>
      <c r="I12" s="34">
        <v>8</v>
      </c>
      <c r="J12" s="5">
        <f>(DASHBOARD!$D$140*100/480)*DASHBOARD!$D$131</f>
        <v>3.9166666666666665</v>
      </c>
      <c r="K12" s="5">
        <f>D12*I12*J12</f>
        <v>31.333333333333332</v>
      </c>
      <c r="L12" s="6">
        <f>H12*I12*J12</f>
        <v>771.17600000000004</v>
      </c>
      <c r="M12" s="1" t="s">
        <v>159</v>
      </c>
      <c r="N12" s="87" t="s">
        <v>111</v>
      </c>
    </row>
    <row r="13" spans="2:14">
      <c r="B13" s="15"/>
      <c r="C13" s="5"/>
      <c r="D13" s="13"/>
      <c r="E13" s="19"/>
      <c r="F13" s="13"/>
      <c r="G13" s="41" t="s">
        <v>17</v>
      </c>
      <c r="H13" s="7">
        <f>DASHBOARD!D36</f>
        <v>45.12</v>
      </c>
      <c r="I13" s="34">
        <v>8</v>
      </c>
      <c r="J13" s="71">
        <f>J12/5</f>
        <v>0.78333333333333333</v>
      </c>
      <c r="K13" s="5">
        <f>D12*I13*J13</f>
        <v>6.2666666666666666</v>
      </c>
      <c r="L13" s="6">
        <f>H13*I13*J13</f>
        <v>282.75200000000001</v>
      </c>
      <c r="M13" s="1" t="s">
        <v>120</v>
      </c>
      <c r="N13" s="87" t="s">
        <v>112</v>
      </c>
    </row>
    <row r="14" spans="2:14">
      <c r="B14" s="15"/>
      <c r="C14" s="5"/>
      <c r="D14" s="164">
        <f>1-D12</f>
        <v>0</v>
      </c>
      <c r="E14" s="19">
        <v>2</v>
      </c>
      <c r="F14" s="13">
        <v>1</v>
      </c>
      <c r="G14" s="5" t="s">
        <v>38</v>
      </c>
      <c r="H14" s="7">
        <v>0</v>
      </c>
      <c r="I14" s="34">
        <v>0</v>
      </c>
      <c r="J14" s="5">
        <v>0</v>
      </c>
      <c r="K14" s="5">
        <f>D14*I14*J14</f>
        <v>0</v>
      </c>
      <c r="L14" s="6">
        <f t="shared" ref="L14" si="0">H14*J14</f>
        <v>0</v>
      </c>
    </row>
    <row r="15" spans="2:14" ht="22.35" customHeight="1" thickBot="1">
      <c r="B15" s="9" t="s">
        <v>7</v>
      </c>
      <c r="C15" s="10"/>
      <c r="D15" s="14"/>
      <c r="E15" s="20"/>
      <c r="F15" s="14"/>
      <c r="G15" s="10"/>
      <c r="H15" s="549" t="s">
        <v>81</v>
      </c>
      <c r="I15" s="549"/>
      <c r="J15" s="549"/>
      <c r="K15" s="242"/>
      <c r="L15" s="70">
        <f>((C12*D12*F12*SUM(L12:L13))+(C12*D14*F14*L14))/100/C12*100</f>
        <v>1053.9280000000001</v>
      </c>
      <c r="M15" s="69" t="str">
        <f>"Per Person Cost is "&amp;ROUND(L15/100,2)&amp;" and the cost per "&amp;$C$4&amp;" people is "&amp;ROUND(L15/100*$C$4,2)</f>
        <v>Per Person Cost is 10.54 and the cost per 1907 people is 20098.41</v>
      </c>
    </row>
    <row r="16" spans="2:14" ht="63">
      <c r="B16" s="16" t="s">
        <v>15</v>
      </c>
      <c r="C16" s="43">
        <f>C4</f>
        <v>1907</v>
      </c>
      <c r="D16" s="164">
        <f>DASHBOARD!D125*DASHBOARD!$D$139</f>
        <v>1</v>
      </c>
      <c r="E16" s="19">
        <v>1</v>
      </c>
      <c r="F16" s="13">
        <f>DASHBOARD!D126</f>
        <v>0.15</v>
      </c>
      <c r="G16" s="41" t="s">
        <v>14</v>
      </c>
      <c r="H16" s="7">
        <f>DASHBOARD!$D$35</f>
        <v>24.612000000000002</v>
      </c>
      <c r="I16" s="34">
        <v>8</v>
      </c>
      <c r="J16" s="5">
        <f>J17</f>
        <v>2.2857142857142856</v>
      </c>
      <c r="K16" s="5">
        <f>$D$16*$F$16*$F$17*I16*J16</f>
        <v>2.7428571428571424</v>
      </c>
      <c r="L16" s="6">
        <f>H16*I16*J16</f>
        <v>450.048</v>
      </c>
      <c r="M16" s="1" t="s">
        <v>74</v>
      </c>
      <c r="N16" s="83" t="s">
        <v>111</v>
      </c>
    </row>
    <row r="17" spans="2:14" ht="19.350000000000001" customHeight="1">
      <c r="B17" s="16"/>
      <c r="C17" s="5"/>
      <c r="D17" s="13"/>
      <c r="E17" s="19" t="s">
        <v>152</v>
      </c>
      <c r="F17" s="13">
        <f>1-F40</f>
        <v>1</v>
      </c>
      <c r="G17" s="41" t="s">
        <v>17</v>
      </c>
      <c r="H17" s="7">
        <f>DASHBOARD!$D$36</f>
        <v>45.12</v>
      </c>
      <c r="I17" s="34">
        <v>8</v>
      </c>
      <c r="J17" s="5">
        <f>(DASHBOARD!$D$145*100/480)*(8/7)</f>
        <v>2.2857142857142856</v>
      </c>
      <c r="K17" s="5">
        <f>$D$16*$F$16*$F$17*I17*J17</f>
        <v>2.7428571428571424</v>
      </c>
      <c r="L17" s="6">
        <f>H17*I17*J17</f>
        <v>825.05142857142846</v>
      </c>
      <c r="N17" s="87" t="s">
        <v>112</v>
      </c>
    </row>
    <row r="18" spans="2:14">
      <c r="B18" s="16"/>
      <c r="C18" s="5"/>
      <c r="D18" s="13"/>
      <c r="E18" s="19"/>
      <c r="F18" s="13" t="s">
        <v>252</v>
      </c>
      <c r="G18" s="41" t="s">
        <v>12</v>
      </c>
      <c r="H18" s="7">
        <f>DASHBOARD!$D$37</f>
        <v>19.8</v>
      </c>
      <c r="I18" s="34">
        <v>8</v>
      </c>
      <c r="J18" s="5">
        <f>J17</f>
        <v>2.2857142857142856</v>
      </c>
      <c r="K18" s="5">
        <f>$D$16*$F$16*$F$17*I18*J18</f>
        <v>2.7428571428571424</v>
      </c>
      <c r="L18" s="6">
        <f t="shared" ref="L18:L162" si="1">H18*I18*J18</f>
        <v>362.05714285714288</v>
      </c>
      <c r="N18" s="87" t="s">
        <v>113</v>
      </c>
    </row>
    <row r="19" spans="2:14">
      <c r="B19" s="16"/>
      <c r="C19" s="5"/>
      <c r="D19" s="13"/>
      <c r="E19" s="19"/>
      <c r="F19" s="13"/>
      <c r="G19" s="41" t="s">
        <v>13</v>
      </c>
      <c r="H19" s="7">
        <f>DASHBOARD!$D$38</f>
        <v>39.6</v>
      </c>
      <c r="I19" s="34">
        <v>8</v>
      </c>
      <c r="J19" s="5">
        <f>0.18*(8/7)</f>
        <v>0.20571428571428568</v>
      </c>
      <c r="K19" s="5">
        <f t="shared" ref="K19" si="2">$D$16*$F$16*$F$17*I19*J19</f>
        <v>0.2468571428571428</v>
      </c>
      <c r="L19" s="6">
        <f t="shared" si="1"/>
        <v>65.170285714285711</v>
      </c>
      <c r="N19" s="87" t="s">
        <v>114</v>
      </c>
    </row>
    <row r="20" spans="2:14">
      <c r="B20" s="16"/>
      <c r="C20" s="5"/>
      <c r="D20" s="13"/>
      <c r="E20" s="19"/>
      <c r="F20" s="13"/>
      <c r="G20" s="41" t="s">
        <v>449</v>
      </c>
      <c r="H20" s="7">
        <f>DASHBOARD!$D$46</f>
        <v>54.804000000000002</v>
      </c>
      <c r="I20" s="34">
        <v>8</v>
      </c>
      <c r="J20" s="5">
        <f>0.19*(8/7)</f>
        <v>0.21714285714285714</v>
      </c>
      <c r="K20" s="5">
        <f>$D$16*$F$64*$F$89*I20*J20</f>
        <v>0</v>
      </c>
      <c r="L20" s="6">
        <f t="shared" si="1"/>
        <v>95.202377142857145</v>
      </c>
      <c r="M20" s="1" t="s">
        <v>324</v>
      </c>
      <c r="N20" s="87"/>
    </row>
    <row r="21" spans="2:14">
      <c r="B21" s="16"/>
      <c r="C21" s="5"/>
      <c r="D21" s="13"/>
      <c r="E21" s="19"/>
      <c r="F21" s="13"/>
      <c r="G21" s="41" t="s">
        <v>325</v>
      </c>
      <c r="H21" s="7">
        <f>DASHBOARD!$D$43</f>
        <v>21.599999999999998</v>
      </c>
      <c r="I21" s="34">
        <v>8</v>
      </c>
      <c r="J21" s="5">
        <f>0.75*(8/7)</f>
        <v>0.8571428571428571</v>
      </c>
      <c r="K21" s="5">
        <f>$D$16*$F$64*$F$65*I21*J21</f>
        <v>5.8285714285714283</v>
      </c>
      <c r="L21" s="6">
        <f t="shared" si="1"/>
        <v>148.1142857142857</v>
      </c>
      <c r="M21" s="1" t="s">
        <v>326</v>
      </c>
      <c r="N21" s="87"/>
    </row>
    <row r="22" spans="2:14">
      <c r="B22" s="16"/>
      <c r="C22" s="5"/>
      <c r="D22" s="13"/>
      <c r="E22" s="19"/>
      <c r="F22" s="13"/>
      <c r="G22" s="5" t="s">
        <v>8</v>
      </c>
      <c r="H22" s="7">
        <f>DASHBOARD!$D$56</f>
        <v>0.16259999999999999</v>
      </c>
      <c r="I22" s="34">
        <v>1</v>
      </c>
      <c r="J22" s="5">
        <v>8</v>
      </c>
      <c r="K22" s="5"/>
      <c r="L22" s="6">
        <f t="shared" si="1"/>
        <v>1.3008</v>
      </c>
      <c r="M22" s="1" t="s">
        <v>121</v>
      </c>
      <c r="N22" s="87" t="s">
        <v>116</v>
      </c>
    </row>
    <row r="23" spans="2:14">
      <c r="B23" s="16"/>
      <c r="C23" s="5"/>
      <c r="D23" s="13"/>
      <c r="E23" s="19"/>
      <c r="F23" s="13"/>
      <c r="G23" s="5" t="s">
        <v>41</v>
      </c>
      <c r="H23" s="7">
        <f>DASHBOARD!$D$57</f>
        <v>3.95</v>
      </c>
      <c r="I23" s="34">
        <v>1</v>
      </c>
      <c r="J23" s="5">
        <v>8</v>
      </c>
      <c r="K23" s="5"/>
      <c r="L23" s="6">
        <f t="shared" si="1"/>
        <v>31.6</v>
      </c>
      <c r="M23" s="1" t="s">
        <v>122</v>
      </c>
      <c r="N23" s="87" t="s">
        <v>117</v>
      </c>
    </row>
    <row r="24" spans="2:14">
      <c r="B24" s="16"/>
      <c r="C24" s="5"/>
      <c r="D24" s="13"/>
      <c r="E24" s="19"/>
      <c r="F24" s="13"/>
      <c r="G24" s="5" t="s">
        <v>9</v>
      </c>
      <c r="H24" s="7">
        <f>DASHBOARD!$D$58</f>
        <v>13.95</v>
      </c>
      <c r="I24" s="34">
        <v>1</v>
      </c>
      <c r="J24" s="5">
        <v>11</v>
      </c>
      <c r="K24" s="5"/>
      <c r="L24" s="6">
        <f t="shared" si="1"/>
        <v>153.44999999999999</v>
      </c>
      <c r="M24" s="1" t="s">
        <v>122</v>
      </c>
      <c r="N24" s="87" t="s">
        <v>118</v>
      </c>
    </row>
    <row r="25" spans="2:14">
      <c r="B25" s="16"/>
      <c r="C25" s="5"/>
      <c r="D25" s="13"/>
      <c r="E25" s="19"/>
      <c r="F25" s="13"/>
      <c r="G25" s="5" t="s">
        <v>16</v>
      </c>
      <c r="H25" s="7">
        <f>DASHBOARD!$D$59</f>
        <v>0.23960000000000001</v>
      </c>
      <c r="I25" s="34">
        <v>1</v>
      </c>
      <c r="J25" s="5">
        <v>208</v>
      </c>
      <c r="K25" s="5"/>
      <c r="L25" s="6">
        <f t="shared" si="1"/>
        <v>49.836800000000004</v>
      </c>
      <c r="M25" s="1" t="s">
        <v>123</v>
      </c>
      <c r="N25" s="87" t="s">
        <v>119</v>
      </c>
    </row>
    <row r="26" spans="2:14">
      <c r="B26" s="16"/>
      <c r="C26" s="5"/>
      <c r="D26" s="13"/>
      <c r="E26" s="19"/>
      <c r="F26" s="13"/>
      <c r="G26" s="5" t="s">
        <v>10</v>
      </c>
      <c r="H26" s="7">
        <f>DASHBOARD!$D$60</f>
        <v>1.7004999999999999</v>
      </c>
      <c r="I26" s="34">
        <v>1</v>
      </c>
      <c r="J26" s="5">
        <v>200</v>
      </c>
      <c r="K26" s="5"/>
      <c r="L26" s="6">
        <f t="shared" si="1"/>
        <v>340.09999999999997</v>
      </c>
      <c r="M26" s="1" t="s">
        <v>124</v>
      </c>
      <c r="N26" s="87" t="s">
        <v>119</v>
      </c>
    </row>
    <row r="27" spans="2:14">
      <c r="B27" s="16"/>
      <c r="C27" s="5"/>
      <c r="D27" s="13"/>
      <c r="E27" s="19"/>
      <c r="F27" s="13"/>
      <c r="G27" s="5" t="s">
        <v>144</v>
      </c>
      <c r="H27" s="7">
        <f>DASHBOARD!$D$61</f>
        <v>3.32</v>
      </c>
      <c r="I27" s="34">
        <v>1</v>
      </c>
      <c r="J27" s="5">
        <v>100</v>
      </c>
      <c r="K27" s="5"/>
      <c r="L27" s="6">
        <f t="shared" si="1"/>
        <v>332</v>
      </c>
      <c r="M27" s="1" t="s">
        <v>145</v>
      </c>
      <c r="N27" s="89" t="s">
        <v>147</v>
      </c>
    </row>
    <row r="28" spans="2:14">
      <c r="B28" s="16"/>
      <c r="C28" s="5"/>
      <c r="D28" s="13"/>
      <c r="E28" s="19"/>
      <c r="F28" s="13"/>
      <c r="G28" s="5" t="s">
        <v>11</v>
      </c>
      <c r="H28" s="7">
        <f>DASHBOARD!$D$62</f>
        <v>0.72</v>
      </c>
      <c r="I28" s="34">
        <v>1</v>
      </c>
      <c r="J28" s="5">
        <f>100</f>
        <v>100</v>
      </c>
      <c r="K28" s="5"/>
      <c r="L28" s="6">
        <f t="shared" si="1"/>
        <v>72</v>
      </c>
      <c r="M28" s="1" t="s">
        <v>146</v>
      </c>
      <c r="N28" s="89" t="s">
        <v>148</v>
      </c>
    </row>
    <row r="29" spans="2:14">
      <c r="B29" s="16"/>
      <c r="C29" s="5"/>
      <c r="D29" s="13"/>
      <c r="E29" s="19"/>
      <c r="F29" s="119">
        <f>DASHBOARD!$D$110</f>
        <v>0</v>
      </c>
      <c r="G29" s="120"/>
      <c r="H29" s="121"/>
      <c r="I29" s="122"/>
      <c r="J29" s="120"/>
      <c r="K29" s="120"/>
      <c r="L29" s="123">
        <f>F29*H29*I29*J29</f>
        <v>0</v>
      </c>
      <c r="N29" s="89"/>
    </row>
    <row r="30" spans="2:14">
      <c r="B30" s="16"/>
      <c r="C30" s="5"/>
      <c r="D30" s="13"/>
      <c r="E30" s="19"/>
      <c r="F30" s="124" t="s">
        <v>281</v>
      </c>
      <c r="G30" s="120"/>
      <c r="H30" s="121"/>
      <c r="I30" s="122"/>
      <c r="J30" s="120"/>
      <c r="K30" s="120"/>
      <c r="L30" s="123">
        <f>F29*H30*I30*J30</f>
        <v>0</v>
      </c>
      <c r="N30" s="89"/>
    </row>
    <row r="31" spans="2:14">
      <c r="B31" s="16"/>
      <c r="C31" s="5"/>
      <c r="D31" s="13"/>
      <c r="E31" s="19"/>
      <c r="F31" s="119"/>
      <c r="G31" s="120"/>
      <c r="H31" s="121"/>
      <c r="I31" s="122"/>
      <c r="J31" s="120"/>
      <c r="K31" s="120"/>
      <c r="L31" s="123">
        <f>F29*H31*I31*J31</f>
        <v>0</v>
      </c>
      <c r="N31" s="89"/>
    </row>
    <row r="32" spans="2:14">
      <c r="B32" s="16"/>
      <c r="C32" s="5"/>
      <c r="D32" s="13"/>
      <c r="E32" s="19"/>
      <c r="F32" s="119"/>
      <c r="G32" s="120"/>
      <c r="H32" s="121"/>
      <c r="I32" s="122"/>
      <c r="J32" s="120"/>
      <c r="K32" s="120"/>
      <c r="L32" s="123">
        <f>F29*H32*I32*J32</f>
        <v>0</v>
      </c>
      <c r="N32" s="89"/>
    </row>
    <row r="33" spans="2:14">
      <c r="B33" s="17"/>
      <c r="F33" s="154">
        <f>DASHBOARD!$D$112</f>
        <v>0</v>
      </c>
      <c r="G33" s="155" t="s">
        <v>381</v>
      </c>
      <c r="H33" s="156">
        <f>DASHBOARD!$D$42</f>
        <v>30</v>
      </c>
      <c r="I33" s="157">
        <v>8</v>
      </c>
      <c r="J33" s="155">
        <f>((DASHBOARD!$D$113*100)/480)*(8/7)</f>
        <v>1.1904761904761905</v>
      </c>
      <c r="K33" s="155">
        <f t="shared" ref="K33:K39" si="3">$D$16*$F$16*$F$17*$F$33*I33*J33</f>
        <v>0</v>
      </c>
      <c r="L33" s="158">
        <f>F33*H33*I33*J33</f>
        <v>0</v>
      </c>
      <c r="M33" s="1" t="s">
        <v>460</v>
      </c>
      <c r="N33" s="88" t="s">
        <v>387</v>
      </c>
    </row>
    <row r="34" spans="2:14">
      <c r="B34" s="17"/>
      <c r="F34" s="159" t="s">
        <v>281</v>
      </c>
      <c r="G34" s="155" t="s">
        <v>382</v>
      </c>
      <c r="H34" s="156">
        <f>DASHBOARD!$D$59</f>
        <v>0.23960000000000001</v>
      </c>
      <c r="I34" s="157">
        <v>1</v>
      </c>
      <c r="J34" s="155">
        <v>100</v>
      </c>
      <c r="K34" s="155">
        <f t="shared" si="3"/>
        <v>0</v>
      </c>
      <c r="L34" s="158">
        <f>F33*H34*I34*J34</f>
        <v>0</v>
      </c>
      <c r="M34" s="1" t="s">
        <v>388</v>
      </c>
      <c r="N34" s="88"/>
    </row>
    <row r="35" spans="2:14">
      <c r="B35" s="17"/>
      <c r="F35" s="159" t="s">
        <v>380</v>
      </c>
      <c r="G35" s="155" t="s">
        <v>383</v>
      </c>
      <c r="H35" s="156">
        <f>DASHBOARD!$D$60</f>
        <v>1.7004999999999999</v>
      </c>
      <c r="I35" s="157">
        <v>1</v>
      </c>
      <c r="J35" s="155">
        <v>100</v>
      </c>
      <c r="K35" s="155">
        <f t="shared" si="3"/>
        <v>0</v>
      </c>
      <c r="L35" s="158">
        <f>F33*H35*I35*J35</f>
        <v>0</v>
      </c>
      <c r="M35" s="1" t="s">
        <v>388</v>
      </c>
      <c r="N35" s="88"/>
    </row>
    <row r="36" spans="2:14">
      <c r="B36" s="17"/>
      <c r="F36" s="154"/>
      <c r="G36" s="155" t="s">
        <v>41</v>
      </c>
      <c r="H36" s="156">
        <f>DASHBOARD!$D$57</f>
        <v>3.95</v>
      </c>
      <c r="I36" s="157">
        <v>1</v>
      </c>
      <c r="J36" s="155">
        <f>I33*J33/2</f>
        <v>4.7619047619047619</v>
      </c>
      <c r="K36" s="155">
        <f t="shared" si="3"/>
        <v>0</v>
      </c>
      <c r="L36" s="158">
        <f>F33*H36*I36*J36</f>
        <v>0</v>
      </c>
      <c r="M36" s="1" t="s">
        <v>385</v>
      </c>
      <c r="N36" s="88"/>
    </row>
    <row r="37" spans="2:14">
      <c r="B37" s="17"/>
      <c r="F37" s="154"/>
      <c r="G37" s="155" t="s">
        <v>384</v>
      </c>
      <c r="H37" s="156">
        <f>DASHBOARD!$D$58</f>
        <v>13.95</v>
      </c>
      <c r="I37" s="157">
        <v>1</v>
      </c>
      <c r="J37" s="155">
        <f>I33*J33/2</f>
        <v>4.7619047619047619</v>
      </c>
      <c r="K37" s="155">
        <f t="shared" si="3"/>
        <v>0</v>
      </c>
      <c r="L37" s="158">
        <f>F33*H37*I37*J37</f>
        <v>0</v>
      </c>
      <c r="M37" s="1" t="s">
        <v>385</v>
      </c>
      <c r="N37" s="88"/>
    </row>
    <row r="38" spans="2:14">
      <c r="B38" s="17"/>
      <c r="F38" s="154"/>
      <c r="G38" s="155" t="s">
        <v>389</v>
      </c>
      <c r="H38" s="156">
        <f>DASHBOARD!$D$71</f>
        <v>2.2799999999999998</v>
      </c>
      <c r="I38" s="157">
        <v>1</v>
      </c>
      <c r="J38" s="155">
        <v>100</v>
      </c>
      <c r="K38" s="155">
        <f t="shared" si="3"/>
        <v>0</v>
      </c>
      <c r="L38" s="158">
        <f>F33*H38*I38*J38</f>
        <v>0</v>
      </c>
      <c r="M38" s="1" t="s">
        <v>390</v>
      </c>
      <c r="N38" s="88" t="s">
        <v>391</v>
      </c>
    </row>
    <row r="39" spans="2:14">
      <c r="B39" s="17"/>
      <c r="F39" s="154"/>
      <c r="G39" s="155" t="s">
        <v>392</v>
      </c>
      <c r="H39" s="156">
        <f>DASHBOARD!$D$72</f>
        <v>0.39</v>
      </c>
      <c r="I39" s="157">
        <v>1</v>
      </c>
      <c r="J39" s="155">
        <v>100</v>
      </c>
      <c r="K39" s="155">
        <f t="shared" si="3"/>
        <v>0</v>
      </c>
      <c r="L39" s="158">
        <f>F33*H39*I39*J39</f>
        <v>0</v>
      </c>
      <c r="M39" s="1" t="s">
        <v>393</v>
      </c>
      <c r="N39" s="88" t="s">
        <v>394</v>
      </c>
    </row>
    <row r="40" spans="2:14">
      <c r="B40" s="16"/>
      <c r="C40" s="5"/>
      <c r="D40" s="13"/>
      <c r="E40" s="19">
        <v>1</v>
      </c>
      <c r="F40" s="13">
        <f>DASHBOARD!D123</f>
        <v>0</v>
      </c>
      <c r="G40" s="41" t="s">
        <v>14</v>
      </c>
      <c r="H40" s="7">
        <f>DASHBOARD!D35</f>
        <v>24.612000000000002</v>
      </c>
      <c r="I40" s="34">
        <v>6</v>
      </c>
      <c r="J40" s="5">
        <f>J16/2</f>
        <v>1.1428571428571428</v>
      </c>
      <c r="K40" s="5">
        <f t="shared" ref="K40:K45" si="4">$D$16*$F$16*$F$40*I40*J40</f>
        <v>0</v>
      </c>
      <c r="L40" s="6">
        <f>H40*I40*J40</f>
        <v>168.76800000000003</v>
      </c>
      <c r="N40" s="89"/>
    </row>
    <row r="41" spans="2:14">
      <c r="B41" s="16"/>
      <c r="C41" s="5"/>
      <c r="D41" s="13"/>
      <c r="E41" s="19" t="s">
        <v>152</v>
      </c>
      <c r="F41" s="13" t="s">
        <v>251</v>
      </c>
      <c r="G41" s="41" t="s">
        <v>17</v>
      </c>
      <c r="H41" s="7">
        <f>DASHBOARD!$D$36</f>
        <v>45.12</v>
      </c>
      <c r="I41" s="34">
        <v>8</v>
      </c>
      <c r="J41" s="5">
        <f>J17</f>
        <v>2.2857142857142856</v>
      </c>
      <c r="K41" s="5">
        <f t="shared" si="4"/>
        <v>0</v>
      </c>
      <c r="L41" s="6">
        <f>H41*I41*J41</f>
        <v>825.05142857142846</v>
      </c>
      <c r="N41" s="89"/>
    </row>
    <row r="42" spans="2:14">
      <c r="B42" s="16"/>
      <c r="C42" s="5"/>
      <c r="D42" s="13"/>
      <c r="E42" s="19"/>
      <c r="F42" s="13"/>
      <c r="G42" s="41" t="s">
        <v>12</v>
      </c>
      <c r="H42" s="7">
        <f>DASHBOARD!$D$37</f>
        <v>19.8</v>
      </c>
      <c r="I42" s="34">
        <v>8</v>
      </c>
      <c r="J42" s="5">
        <f>J41</f>
        <v>2.2857142857142856</v>
      </c>
      <c r="K42" s="5">
        <f t="shared" si="4"/>
        <v>0</v>
      </c>
      <c r="L42" s="6">
        <f t="shared" ref="L42:L52" si="5">H42*I42*J42</f>
        <v>362.05714285714288</v>
      </c>
      <c r="N42" s="89"/>
    </row>
    <row r="43" spans="2:14">
      <c r="B43" s="16"/>
      <c r="C43" s="5"/>
      <c r="D43" s="13"/>
      <c r="E43" s="19"/>
      <c r="F43" s="13"/>
      <c r="G43" s="41" t="s">
        <v>13</v>
      </c>
      <c r="H43" s="7">
        <f>DASHBOARD!$D$38</f>
        <v>39.6</v>
      </c>
      <c r="I43" s="34">
        <v>8</v>
      </c>
      <c r="J43" s="5">
        <f>0.18*(8/7)</f>
        <v>0.20571428571428568</v>
      </c>
      <c r="K43" s="5">
        <f t="shared" si="4"/>
        <v>0</v>
      </c>
      <c r="L43" s="6">
        <f t="shared" si="5"/>
        <v>65.170285714285711</v>
      </c>
      <c r="N43" s="89"/>
    </row>
    <row r="44" spans="2:14">
      <c r="B44" s="16"/>
      <c r="C44" s="5"/>
      <c r="D44" s="13"/>
      <c r="E44" s="19"/>
      <c r="F44" s="13"/>
      <c r="G44" s="41" t="s">
        <v>449</v>
      </c>
      <c r="H44" s="7">
        <f>DASHBOARD!$D$46</f>
        <v>54.804000000000002</v>
      </c>
      <c r="I44" s="34">
        <v>8</v>
      </c>
      <c r="J44" s="5">
        <f>0.19*(8/7)</f>
        <v>0.21714285714285714</v>
      </c>
      <c r="K44" s="5">
        <f t="shared" si="4"/>
        <v>0</v>
      </c>
      <c r="L44" s="6">
        <f t="shared" si="5"/>
        <v>95.202377142857145</v>
      </c>
      <c r="N44" s="89"/>
    </row>
    <row r="45" spans="2:14">
      <c r="B45" s="16"/>
      <c r="C45" s="5"/>
      <c r="D45" s="13"/>
      <c r="E45" s="19"/>
      <c r="F45" s="13"/>
      <c r="G45" s="41" t="s">
        <v>325</v>
      </c>
      <c r="H45" s="7">
        <f>DASHBOARD!$D$43</f>
        <v>21.599999999999998</v>
      </c>
      <c r="I45" s="34">
        <v>8</v>
      </c>
      <c r="J45" s="5">
        <f>0.75*(8/7)</f>
        <v>0.8571428571428571</v>
      </c>
      <c r="K45" s="5">
        <f t="shared" si="4"/>
        <v>0</v>
      </c>
      <c r="L45" s="6">
        <f t="shared" si="5"/>
        <v>148.1142857142857</v>
      </c>
      <c r="M45" s="1" t="s">
        <v>121</v>
      </c>
      <c r="N45" s="89"/>
    </row>
    <row r="46" spans="2:14">
      <c r="B46" s="16"/>
      <c r="C46" s="5"/>
      <c r="D46" s="13"/>
      <c r="E46" s="19"/>
      <c r="F46" s="13"/>
      <c r="G46" s="5" t="s">
        <v>8</v>
      </c>
      <c r="H46" s="7">
        <f>DASHBOARD!$D$56</f>
        <v>0.16259999999999999</v>
      </c>
      <c r="I46" s="34">
        <v>1</v>
      </c>
      <c r="J46" s="5">
        <v>8</v>
      </c>
      <c r="K46" s="5"/>
      <c r="L46" s="6">
        <f t="shared" si="5"/>
        <v>1.3008</v>
      </c>
      <c r="M46" s="1" t="s">
        <v>122</v>
      </c>
      <c r="N46" s="89"/>
    </row>
    <row r="47" spans="2:14">
      <c r="B47" s="16"/>
      <c r="C47" s="5"/>
      <c r="D47" s="13"/>
      <c r="E47" s="19"/>
      <c r="F47" s="13"/>
      <c r="G47" s="5" t="s">
        <v>41</v>
      </c>
      <c r="H47" s="7">
        <f>DASHBOARD!$D$57</f>
        <v>3.95</v>
      </c>
      <c r="I47" s="34">
        <v>1</v>
      </c>
      <c r="J47" s="5">
        <v>8</v>
      </c>
      <c r="K47" s="5"/>
      <c r="L47" s="6">
        <f t="shared" si="5"/>
        <v>31.6</v>
      </c>
      <c r="M47" s="1" t="s">
        <v>122</v>
      </c>
      <c r="N47" s="89"/>
    </row>
    <row r="48" spans="2:14">
      <c r="B48" s="16"/>
      <c r="C48" s="5"/>
      <c r="D48" s="13"/>
      <c r="E48" s="19"/>
      <c r="F48" s="13"/>
      <c r="G48" s="5" t="s">
        <v>9</v>
      </c>
      <c r="H48" s="7">
        <f>DASHBOARD!$D$58</f>
        <v>13.95</v>
      </c>
      <c r="I48" s="34">
        <v>1</v>
      </c>
      <c r="J48" s="5">
        <v>11</v>
      </c>
      <c r="K48" s="5"/>
      <c r="L48" s="6">
        <f t="shared" si="5"/>
        <v>153.44999999999999</v>
      </c>
      <c r="M48" s="1" t="s">
        <v>123</v>
      </c>
      <c r="N48" s="89"/>
    </row>
    <row r="49" spans="2:14">
      <c r="B49" s="16"/>
      <c r="C49" s="5"/>
      <c r="D49" s="13"/>
      <c r="E49" s="19"/>
      <c r="F49" s="13"/>
      <c r="G49" s="5" t="s">
        <v>16</v>
      </c>
      <c r="H49" s="7">
        <f>DASHBOARD!$D$59</f>
        <v>0.23960000000000001</v>
      </c>
      <c r="I49" s="34">
        <v>1</v>
      </c>
      <c r="J49" s="5">
        <v>208</v>
      </c>
      <c r="K49" s="5"/>
      <c r="L49" s="6">
        <f t="shared" si="5"/>
        <v>49.836800000000004</v>
      </c>
      <c r="M49" s="1" t="s">
        <v>124</v>
      </c>
      <c r="N49" s="89"/>
    </row>
    <row r="50" spans="2:14">
      <c r="B50" s="16"/>
      <c r="C50" s="5"/>
      <c r="D50" s="13"/>
      <c r="E50" s="19"/>
      <c r="F50" s="13"/>
      <c r="G50" s="5" t="s">
        <v>10</v>
      </c>
      <c r="H50" s="7">
        <f>DASHBOARD!$D$60</f>
        <v>1.7004999999999999</v>
      </c>
      <c r="I50" s="34">
        <v>1</v>
      </c>
      <c r="J50" s="5">
        <v>200</v>
      </c>
      <c r="K50" s="5"/>
      <c r="L50" s="6">
        <f t="shared" si="5"/>
        <v>340.09999999999997</v>
      </c>
      <c r="M50" s="1" t="s">
        <v>145</v>
      </c>
      <c r="N50" s="89"/>
    </row>
    <row r="51" spans="2:14">
      <c r="B51" s="16"/>
      <c r="C51" s="5"/>
      <c r="D51" s="13"/>
      <c r="E51" s="19"/>
      <c r="F51" s="13"/>
      <c r="G51" s="5" t="s">
        <v>144</v>
      </c>
      <c r="H51" s="7">
        <f>DASHBOARD!$D$61</f>
        <v>3.32</v>
      </c>
      <c r="I51" s="34">
        <v>1</v>
      </c>
      <c r="J51" s="5">
        <v>100</v>
      </c>
      <c r="K51" s="5"/>
      <c r="L51" s="6">
        <f t="shared" si="5"/>
        <v>332</v>
      </c>
      <c r="M51" s="1" t="s">
        <v>146</v>
      </c>
      <c r="N51" s="89"/>
    </row>
    <row r="52" spans="2:14">
      <c r="B52" s="16"/>
      <c r="C52" s="5"/>
      <c r="D52" s="13"/>
      <c r="E52" s="19"/>
      <c r="F52" s="13"/>
      <c r="G52" s="5" t="s">
        <v>11</v>
      </c>
      <c r="H52" s="7">
        <f>DASHBOARD!$D$62</f>
        <v>0.72</v>
      </c>
      <c r="I52" s="34">
        <v>1</v>
      </c>
      <c r="J52" s="5">
        <f>100</f>
        <v>100</v>
      </c>
      <c r="K52" s="5"/>
      <c r="L52" s="6">
        <f t="shared" si="5"/>
        <v>72</v>
      </c>
      <c r="N52" s="89"/>
    </row>
    <row r="53" spans="2:14">
      <c r="B53" s="16"/>
      <c r="C53" s="5"/>
      <c r="D53" s="13"/>
      <c r="E53" s="19"/>
      <c r="F53" s="119">
        <f>DASHBOARD!$D$110</f>
        <v>0</v>
      </c>
      <c r="G53" s="120"/>
      <c r="H53" s="121"/>
      <c r="I53" s="122"/>
      <c r="J53" s="120"/>
      <c r="K53" s="120"/>
      <c r="L53" s="123">
        <f>F53*H53*I53*J53</f>
        <v>0</v>
      </c>
      <c r="N53" s="89"/>
    </row>
    <row r="54" spans="2:14">
      <c r="B54" s="16"/>
      <c r="C54" s="5"/>
      <c r="D54" s="13"/>
      <c r="E54" s="19"/>
      <c r="F54" s="124" t="s">
        <v>281</v>
      </c>
      <c r="G54" s="120"/>
      <c r="H54" s="121"/>
      <c r="I54" s="122"/>
      <c r="J54" s="120"/>
      <c r="K54" s="120"/>
      <c r="L54" s="123">
        <f>F53*H54*I54*J54</f>
        <v>0</v>
      </c>
      <c r="N54" s="89"/>
    </row>
    <row r="55" spans="2:14">
      <c r="B55" s="16"/>
      <c r="C55" s="5"/>
      <c r="D55" s="13"/>
      <c r="E55" s="19"/>
      <c r="F55" s="119"/>
      <c r="G55" s="120"/>
      <c r="H55" s="121"/>
      <c r="I55" s="122"/>
      <c r="J55" s="120"/>
      <c r="K55" s="120"/>
      <c r="L55" s="123">
        <f>F53*H55*I55*J55</f>
        <v>0</v>
      </c>
      <c r="N55" s="89"/>
    </row>
    <row r="56" spans="2:14">
      <c r="B56" s="16"/>
      <c r="C56" s="5"/>
      <c r="D56" s="13"/>
      <c r="E56" s="19"/>
      <c r="F56" s="119"/>
      <c r="G56" s="120"/>
      <c r="H56" s="121"/>
      <c r="I56" s="122"/>
      <c r="J56" s="120"/>
      <c r="K56" s="120"/>
      <c r="L56" s="123">
        <f>F53*H56*I56*J56</f>
        <v>0</v>
      </c>
      <c r="N56" s="89"/>
    </row>
    <row r="57" spans="2:14">
      <c r="B57" s="17"/>
      <c r="F57" s="154">
        <f>DASHBOARD!$D$112</f>
        <v>0</v>
      </c>
      <c r="G57" s="155" t="s">
        <v>381</v>
      </c>
      <c r="H57" s="156">
        <f>DASHBOARD!$D$42</f>
        <v>30</v>
      </c>
      <c r="I57" s="157">
        <v>8</v>
      </c>
      <c r="J57" s="155">
        <f>((DASHBOARD!$D$113*100)/480)*(8/7)</f>
        <v>1.1904761904761905</v>
      </c>
      <c r="K57" s="245">
        <f t="shared" ref="K57:K63" si="6">$D$16*$F$16*$F$40*$F$57*I57*J57</f>
        <v>0</v>
      </c>
      <c r="L57" s="158">
        <f>F57*H57*I57*J57</f>
        <v>0</v>
      </c>
      <c r="M57" s="1" t="s">
        <v>460</v>
      </c>
      <c r="N57" s="88" t="s">
        <v>387</v>
      </c>
    </row>
    <row r="58" spans="2:14">
      <c r="B58" s="17"/>
      <c r="F58" s="159" t="s">
        <v>281</v>
      </c>
      <c r="G58" s="155" t="s">
        <v>382</v>
      </c>
      <c r="H58" s="156">
        <f>DASHBOARD!$D$59</f>
        <v>0.23960000000000001</v>
      </c>
      <c r="I58" s="157">
        <v>1</v>
      </c>
      <c r="J58" s="155">
        <v>100</v>
      </c>
      <c r="K58" s="245">
        <f t="shared" si="6"/>
        <v>0</v>
      </c>
      <c r="L58" s="158">
        <f>F57*H58*I58*J58</f>
        <v>0</v>
      </c>
      <c r="M58" s="1" t="s">
        <v>388</v>
      </c>
      <c r="N58" s="88"/>
    </row>
    <row r="59" spans="2:14">
      <c r="B59" s="17"/>
      <c r="F59" s="159" t="s">
        <v>380</v>
      </c>
      <c r="G59" s="155" t="s">
        <v>383</v>
      </c>
      <c r="H59" s="156">
        <f>DASHBOARD!$D$60</f>
        <v>1.7004999999999999</v>
      </c>
      <c r="I59" s="157">
        <v>1</v>
      </c>
      <c r="J59" s="155">
        <v>100</v>
      </c>
      <c r="K59" s="245">
        <f t="shared" si="6"/>
        <v>0</v>
      </c>
      <c r="L59" s="158">
        <f>F57*H59*I59*J59</f>
        <v>0</v>
      </c>
      <c r="M59" s="1" t="s">
        <v>388</v>
      </c>
      <c r="N59" s="88"/>
    </row>
    <row r="60" spans="2:14">
      <c r="B60" s="17"/>
      <c r="F60" s="154"/>
      <c r="G60" s="155" t="s">
        <v>41</v>
      </c>
      <c r="H60" s="156">
        <f>DASHBOARD!$D$57</f>
        <v>3.95</v>
      </c>
      <c r="I60" s="157">
        <v>1</v>
      </c>
      <c r="J60" s="155">
        <f>I57*J57/2</f>
        <v>4.7619047619047619</v>
      </c>
      <c r="K60" s="245">
        <f t="shared" si="6"/>
        <v>0</v>
      </c>
      <c r="L60" s="158">
        <f>F57*H60*I60*J60</f>
        <v>0</v>
      </c>
      <c r="M60" s="1" t="s">
        <v>385</v>
      </c>
      <c r="N60" s="88"/>
    </row>
    <row r="61" spans="2:14">
      <c r="B61" s="17"/>
      <c r="F61" s="154"/>
      <c r="G61" s="155" t="s">
        <v>384</v>
      </c>
      <c r="H61" s="156">
        <f>DASHBOARD!$D$58</f>
        <v>13.95</v>
      </c>
      <c r="I61" s="157">
        <v>1</v>
      </c>
      <c r="J61" s="155">
        <f>I57*J57/2</f>
        <v>4.7619047619047619</v>
      </c>
      <c r="K61" s="245">
        <f t="shared" si="6"/>
        <v>0</v>
      </c>
      <c r="L61" s="158">
        <f>F57*H61*I61*J61</f>
        <v>0</v>
      </c>
      <c r="M61" s="1" t="s">
        <v>385</v>
      </c>
      <c r="N61" s="88"/>
    </row>
    <row r="62" spans="2:14">
      <c r="B62" s="17"/>
      <c r="F62" s="154"/>
      <c r="G62" s="155" t="s">
        <v>389</v>
      </c>
      <c r="H62" s="156">
        <f>DASHBOARD!$D$71</f>
        <v>2.2799999999999998</v>
      </c>
      <c r="I62" s="157">
        <v>1</v>
      </c>
      <c r="J62" s="155">
        <v>100</v>
      </c>
      <c r="K62" s="245">
        <f t="shared" si="6"/>
        <v>0</v>
      </c>
      <c r="L62" s="158">
        <f>F57*H62*I62*J62</f>
        <v>0</v>
      </c>
      <c r="M62" s="1" t="s">
        <v>390</v>
      </c>
      <c r="N62" s="88" t="s">
        <v>391</v>
      </c>
    </row>
    <row r="63" spans="2:14">
      <c r="B63" s="17"/>
      <c r="F63" s="154"/>
      <c r="G63" s="155" t="s">
        <v>392</v>
      </c>
      <c r="H63" s="156">
        <f>DASHBOARD!$D$72</f>
        <v>0.39</v>
      </c>
      <c r="I63" s="157">
        <v>1</v>
      </c>
      <c r="J63" s="155">
        <v>100</v>
      </c>
      <c r="K63" s="245">
        <f t="shared" si="6"/>
        <v>0</v>
      </c>
      <c r="L63" s="158">
        <f>F57*H63*I63*J63</f>
        <v>0</v>
      </c>
      <c r="M63" s="1" t="s">
        <v>393</v>
      </c>
      <c r="N63" s="88" t="s">
        <v>394</v>
      </c>
    </row>
    <row r="64" spans="2:14" ht="31.5">
      <c r="B64" s="16"/>
      <c r="C64" s="43"/>
      <c r="D64" s="13"/>
      <c r="E64" s="19">
        <v>1</v>
      </c>
      <c r="F64" s="13">
        <f>DASHBOARD!D127</f>
        <v>0.85</v>
      </c>
      <c r="G64" s="41" t="s">
        <v>14</v>
      </c>
      <c r="H64" s="7">
        <f>DASHBOARD!$D$35</f>
        <v>24.612000000000002</v>
      </c>
      <c r="I64" s="34">
        <v>8</v>
      </c>
      <c r="J64" s="5">
        <f>J65+2</f>
        <v>2.6</v>
      </c>
      <c r="K64" s="5">
        <f t="shared" ref="K64:K70" si="7">$D$16*$F$64*$F$65*I64*J64</f>
        <v>17.68</v>
      </c>
      <c r="L64" s="6">
        <f>H64*I64*J64</f>
        <v>511.92960000000005</v>
      </c>
      <c r="M64" s="1" t="s">
        <v>322</v>
      </c>
      <c r="N64" s="83" t="s">
        <v>111</v>
      </c>
    </row>
    <row r="65" spans="2:14" ht="19.350000000000001" customHeight="1">
      <c r="B65" s="16"/>
      <c r="C65" s="5"/>
      <c r="D65" s="13"/>
      <c r="E65" s="19" t="s">
        <v>153</v>
      </c>
      <c r="F65" s="13">
        <f>1-F89</f>
        <v>1</v>
      </c>
      <c r="G65" s="41" t="s">
        <v>17</v>
      </c>
      <c r="H65" s="7">
        <f>DASHBOARD!$D$36</f>
        <v>45.12</v>
      </c>
      <c r="I65" s="34">
        <v>8</v>
      </c>
      <c r="J65" s="5">
        <f>DASHBOARD!D146*100/480</f>
        <v>0.6</v>
      </c>
      <c r="K65" s="5">
        <f t="shared" si="7"/>
        <v>4.08</v>
      </c>
      <c r="L65" s="6">
        <f>H65*I65*J65</f>
        <v>216.57599999999999</v>
      </c>
      <c r="M65" s="1" t="s">
        <v>321</v>
      </c>
      <c r="N65" s="87" t="s">
        <v>112</v>
      </c>
    </row>
    <row r="66" spans="2:14">
      <c r="B66" s="16"/>
      <c r="C66" s="5"/>
      <c r="D66" s="13"/>
      <c r="E66" s="19"/>
      <c r="F66" s="13" t="s">
        <v>252</v>
      </c>
      <c r="G66" s="41" t="s">
        <v>6</v>
      </c>
      <c r="H66" s="3">
        <f>DASHBOARD!$D$40</f>
        <v>24.276</v>
      </c>
      <c r="I66" s="34">
        <v>8</v>
      </c>
      <c r="J66" s="5">
        <f>J65</f>
        <v>0.6</v>
      </c>
      <c r="K66" s="5">
        <f t="shared" si="7"/>
        <v>4.08</v>
      </c>
      <c r="L66" s="6">
        <f t="shared" ref="L66:L77" si="8">H66*I66*J66</f>
        <v>116.5248</v>
      </c>
      <c r="N66" s="87" t="s">
        <v>114</v>
      </c>
    </row>
    <row r="67" spans="2:14">
      <c r="B67" s="16"/>
      <c r="C67" s="5"/>
      <c r="D67" s="13"/>
      <c r="E67" s="19"/>
      <c r="F67" s="13"/>
      <c r="G67" s="41" t="s">
        <v>12</v>
      </c>
      <c r="H67" s="7">
        <f>DASHBOARD!$D$37</f>
        <v>19.8</v>
      </c>
      <c r="I67" s="34">
        <v>8</v>
      </c>
      <c r="J67" s="5">
        <v>0.8</v>
      </c>
      <c r="K67" s="5">
        <f t="shared" si="7"/>
        <v>5.44</v>
      </c>
      <c r="L67" s="6">
        <f t="shared" si="8"/>
        <v>126.72000000000001</v>
      </c>
      <c r="M67" s="1" t="s">
        <v>320</v>
      </c>
      <c r="N67" s="87"/>
    </row>
    <row r="68" spans="2:14">
      <c r="B68" s="16"/>
      <c r="C68" s="5"/>
      <c r="D68" s="13"/>
      <c r="E68" s="19"/>
      <c r="F68" s="13"/>
      <c r="G68" s="41" t="s">
        <v>449</v>
      </c>
      <c r="H68" s="7">
        <f>DASHBOARD!$D$46</f>
        <v>54.804000000000002</v>
      </c>
      <c r="I68" s="34">
        <v>8</v>
      </c>
      <c r="J68" s="5">
        <v>0.2</v>
      </c>
      <c r="K68" s="5">
        <f t="shared" si="7"/>
        <v>1.36</v>
      </c>
      <c r="L68" s="6">
        <f t="shared" si="8"/>
        <v>87.686400000000006</v>
      </c>
      <c r="M68" s="1" t="s">
        <v>324</v>
      </c>
      <c r="N68" s="87"/>
    </row>
    <row r="69" spans="2:14">
      <c r="B69" s="16"/>
      <c r="C69" s="5"/>
      <c r="D69" s="13"/>
      <c r="E69" s="19"/>
      <c r="F69" s="13"/>
      <c r="G69" s="41" t="s">
        <v>323</v>
      </c>
      <c r="H69" s="7">
        <f>DASHBOARD!$D$47</f>
        <v>60</v>
      </c>
      <c r="I69" s="34">
        <v>8</v>
      </c>
      <c r="J69" s="5">
        <v>0.2</v>
      </c>
      <c r="K69" s="5">
        <f t="shared" si="7"/>
        <v>1.36</v>
      </c>
      <c r="L69" s="6">
        <f t="shared" si="8"/>
        <v>96</v>
      </c>
      <c r="M69" s="1" t="s">
        <v>324</v>
      </c>
      <c r="N69" s="87"/>
    </row>
    <row r="70" spans="2:14">
      <c r="B70" s="16"/>
      <c r="C70" s="5"/>
      <c r="D70" s="13"/>
      <c r="E70" s="19"/>
      <c r="F70" s="13"/>
      <c r="G70" s="41" t="s">
        <v>325</v>
      </c>
      <c r="H70" s="7">
        <f>DASHBOARD!$D$43</f>
        <v>21.599999999999998</v>
      </c>
      <c r="I70" s="34">
        <v>8</v>
      </c>
      <c r="J70" s="5">
        <v>0.8</v>
      </c>
      <c r="K70" s="5">
        <f t="shared" si="7"/>
        <v>5.44</v>
      </c>
      <c r="L70" s="6">
        <f t="shared" si="8"/>
        <v>138.23999999999998</v>
      </c>
      <c r="M70" s="1" t="s">
        <v>326</v>
      </c>
      <c r="N70" s="87"/>
    </row>
    <row r="71" spans="2:14">
      <c r="B71" s="16"/>
      <c r="C71" s="5"/>
      <c r="D71" s="13"/>
      <c r="E71" s="19"/>
      <c r="F71" s="13"/>
      <c r="G71" s="5" t="s">
        <v>8</v>
      </c>
      <c r="H71" s="7">
        <f>DASHBOARD!$D$56</f>
        <v>0.16259999999999999</v>
      </c>
      <c r="I71" s="34">
        <v>1</v>
      </c>
      <c r="J71" s="5">
        <f>4*J64</f>
        <v>10.4</v>
      </c>
      <c r="K71" s="5"/>
      <c r="L71" s="6">
        <f t="shared" si="8"/>
        <v>1.6910400000000001</v>
      </c>
      <c r="M71" s="1" t="s">
        <v>121</v>
      </c>
      <c r="N71" s="87" t="s">
        <v>116</v>
      </c>
    </row>
    <row r="72" spans="2:14">
      <c r="B72" s="16"/>
      <c r="C72" s="5"/>
      <c r="D72" s="13"/>
      <c r="E72" s="19"/>
      <c r="F72" s="13"/>
      <c r="G72" s="5" t="s">
        <v>41</v>
      </c>
      <c r="H72" s="7">
        <f>DASHBOARD!$D$57</f>
        <v>3.95</v>
      </c>
      <c r="I72" s="34">
        <v>1</v>
      </c>
      <c r="J72" s="5">
        <f>(4*J65)+(4*J66)+(4*0.6)</f>
        <v>7.1999999999999993</v>
      </c>
      <c r="K72" s="5"/>
      <c r="L72" s="6">
        <f t="shared" si="8"/>
        <v>28.439999999999998</v>
      </c>
      <c r="M72" s="1" t="s">
        <v>122</v>
      </c>
      <c r="N72" s="87" t="s">
        <v>117</v>
      </c>
    </row>
    <row r="73" spans="2:14">
      <c r="B73" s="16"/>
      <c r="C73" s="5"/>
      <c r="D73" s="13"/>
      <c r="E73" s="19"/>
      <c r="F73" s="13"/>
      <c r="G73" s="5" t="s">
        <v>9</v>
      </c>
      <c r="H73" s="7">
        <f>DASHBOARD!$D$58</f>
        <v>13.95</v>
      </c>
      <c r="I73" s="34">
        <v>1</v>
      </c>
      <c r="J73" s="5">
        <f>(4*J65)+(4*J66)+(4*0.6)</f>
        <v>7.1999999999999993</v>
      </c>
      <c r="K73" s="5"/>
      <c r="L73" s="6">
        <f t="shared" si="8"/>
        <v>100.43999999999998</v>
      </c>
      <c r="M73" s="1" t="s">
        <v>122</v>
      </c>
      <c r="N73" s="87" t="s">
        <v>118</v>
      </c>
    </row>
    <row r="74" spans="2:14">
      <c r="B74" s="16"/>
      <c r="C74" s="5"/>
      <c r="D74" s="13"/>
      <c r="E74" s="19"/>
      <c r="F74" s="13"/>
      <c r="G74" s="5" t="s">
        <v>16</v>
      </c>
      <c r="H74" s="7">
        <f>DASHBOARD!$D$59</f>
        <v>0.23960000000000001</v>
      </c>
      <c r="I74" s="34">
        <v>1</v>
      </c>
      <c r="J74" s="5">
        <f>(4*(J64-0.6))+100+100+100</f>
        <v>308</v>
      </c>
      <c r="K74" s="5"/>
      <c r="L74" s="6">
        <f t="shared" si="8"/>
        <v>73.796800000000005</v>
      </c>
      <c r="M74" s="1" t="s">
        <v>123</v>
      </c>
      <c r="N74" s="87" t="s">
        <v>119</v>
      </c>
    </row>
    <row r="75" spans="2:14">
      <c r="B75" s="16"/>
      <c r="C75" s="5"/>
      <c r="D75" s="13"/>
      <c r="E75" s="19"/>
      <c r="F75" s="13"/>
      <c r="G75" s="5" t="s">
        <v>10</v>
      </c>
      <c r="H75" s="7">
        <f>DASHBOARD!$D$60</f>
        <v>1.7004999999999999</v>
      </c>
      <c r="I75" s="34">
        <v>1</v>
      </c>
      <c r="J75" s="5">
        <f>100+100+100</f>
        <v>300</v>
      </c>
      <c r="K75" s="5"/>
      <c r="L75" s="6">
        <f t="shared" si="8"/>
        <v>510.15</v>
      </c>
      <c r="M75" s="1" t="s">
        <v>124</v>
      </c>
      <c r="N75" s="87" t="s">
        <v>119</v>
      </c>
    </row>
    <row r="76" spans="2:14">
      <c r="B76" s="16"/>
      <c r="C76" s="5"/>
      <c r="D76" s="13"/>
      <c r="E76" s="19"/>
      <c r="F76" s="13"/>
      <c r="G76" s="5" t="s">
        <v>144</v>
      </c>
      <c r="H76" s="7">
        <f>DASHBOARD!$D$61</f>
        <v>3.32</v>
      </c>
      <c r="I76" s="34">
        <v>1</v>
      </c>
      <c r="J76" s="5">
        <v>100</v>
      </c>
      <c r="K76" s="5"/>
      <c r="L76" s="6">
        <f t="shared" si="8"/>
        <v>332</v>
      </c>
      <c r="M76" s="1" t="s">
        <v>145</v>
      </c>
      <c r="N76" s="89" t="s">
        <v>147</v>
      </c>
    </row>
    <row r="77" spans="2:14">
      <c r="B77" s="16"/>
      <c r="C77" s="5"/>
      <c r="D77" s="13"/>
      <c r="E77" s="19"/>
      <c r="F77" s="13"/>
      <c r="G77" s="5" t="s">
        <v>11</v>
      </c>
      <c r="H77" s="7">
        <f>DASHBOARD!$D$62</f>
        <v>0.72</v>
      </c>
      <c r="I77" s="34">
        <v>1</v>
      </c>
      <c r="J77" s="5">
        <f>100</f>
        <v>100</v>
      </c>
      <c r="K77" s="5"/>
      <c r="L77" s="6">
        <f t="shared" si="8"/>
        <v>72</v>
      </c>
      <c r="M77" s="1" t="s">
        <v>146</v>
      </c>
      <c r="N77" s="89" t="s">
        <v>148</v>
      </c>
    </row>
    <row r="78" spans="2:14">
      <c r="B78" s="16"/>
      <c r="C78" s="5"/>
      <c r="D78" s="13"/>
      <c r="E78" s="19"/>
      <c r="F78" s="119">
        <f>DASHBOARD!$D$110</f>
        <v>0</v>
      </c>
      <c r="G78" s="120"/>
      <c r="H78" s="121"/>
      <c r="I78" s="122"/>
      <c r="J78" s="120"/>
      <c r="K78" s="120"/>
      <c r="L78" s="123">
        <f>F78*H78*I78*J78</f>
        <v>0</v>
      </c>
      <c r="N78" s="89"/>
    </row>
    <row r="79" spans="2:14">
      <c r="B79" s="16"/>
      <c r="C79" s="5"/>
      <c r="D79" s="13"/>
      <c r="E79" s="19"/>
      <c r="F79" s="124" t="s">
        <v>281</v>
      </c>
      <c r="G79" s="120"/>
      <c r="H79" s="121"/>
      <c r="I79" s="122"/>
      <c r="J79" s="120"/>
      <c r="K79" s="120"/>
      <c r="L79" s="123">
        <f>F78*H79*I79*J79</f>
        <v>0</v>
      </c>
      <c r="N79" s="89"/>
    </row>
    <row r="80" spans="2:14">
      <c r="B80" s="16"/>
      <c r="C80" s="5"/>
      <c r="D80" s="13"/>
      <c r="E80" s="19"/>
      <c r="F80" s="119"/>
      <c r="G80" s="120"/>
      <c r="H80" s="121"/>
      <c r="I80" s="122"/>
      <c r="J80" s="120"/>
      <c r="K80" s="120"/>
      <c r="L80" s="123">
        <f>F78*H80*I80*J80</f>
        <v>0</v>
      </c>
      <c r="N80" s="89"/>
    </row>
    <row r="81" spans="2:14">
      <c r="B81" s="16"/>
      <c r="C81" s="5"/>
      <c r="D81" s="13"/>
      <c r="E81" s="19"/>
      <c r="F81" s="119"/>
      <c r="G81" s="120"/>
      <c r="H81" s="121"/>
      <c r="I81" s="122"/>
      <c r="J81" s="120"/>
      <c r="K81" s="120"/>
      <c r="L81" s="123">
        <f>F78*H81*I81*J81</f>
        <v>0</v>
      </c>
      <c r="N81" s="89"/>
    </row>
    <row r="82" spans="2:14">
      <c r="B82" s="17"/>
      <c r="F82" s="154">
        <f>DASHBOARD!$D$112</f>
        <v>0</v>
      </c>
      <c r="G82" s="155" t="s">
        <v>381</v>
      </c>
      <c r="H82" s="156">
        <f>DASHBOARD!$D$42</f>
        <v>30</v>
      </c>
      <c r="I82" s="157">
        <v>8</v>
      </c>
      <c r="J82" s="155">
        <f>((DASHBOARD!$D$113*100)/480)*(8/7)</f>
        <v>1.1904761904761905</v>
      </c>
      <c r="K82" s="155">
        <f t="shared" ref="K82:K88" si="9">$D$16*$F$64*$F$65*$F$82*I82*J82</f>
        <v>0</v>
      </c>
      <c r="L82" s="158">
        <f>F82*H82*I82*J82</f>
        <v>0</v>
      </c>
      <c r="M82" s="1" t="s">
        <v>460</v>
      </c>
      <c r="N82" s="88" t="s">
        <v>387</v>
      </c>
    </row>
    <row r="83" spans="2:14">
      <c r="B83" s="17"/>
      <c r="F83" s="159" t="s">
        <v>281</v>
      </c>
      <c r="G83" s="155" t="s">
        <v>382</v>
      </c>
      <c r="H83" s="156">
        <f>DASHBOARD!$D$59</f>
        <v>0.23960000000000001</v>
      </c>
      <c r="I83" s="157">
        <v>1</v>
      </c>
      <c r="J83" s="155">
        <v>100</v>
      </c>
      <c r="K83" s="155">
        <f t="shared" si="9"/>
        <v>0</v>
      </c>
      <c r="L83" s="158">
        <f>F82*H83*I83*J83</f>
        <v>0</v>
      </c>
      <c r="M83" s="1" t="s">
        <v>388</v>
      </c>
      <c r="N83" s="88"/>
    </row>
    <row r="84" spans="2:14">
      <c r="B84" s="17"/>
      <c r="F84" s="159" t="s">
        <v>380</v>
      </c>
      <c r="G84" s="155" t="s">
        <v>383</v>
      </c>
      <c r="H84" s="156">
        <f>DASHBOARD!$D$60</f>
        <v>1.7004999999999999</v>
      </c>
      <c r="I84" s="157">
        <v>1</v>
      </c>
      <c r="J84" s="155">
        <v>100</v>
      </c>
      <c r="K84" s="155">
        <f t="shared" si="9"/>
        <v>0</v>
      </c>
      <c r="L84" s="158">
        <f>F82*H84*I84*J84</f>
        <v>0</v>
      </c>
      <c r="M84" s="1" t="s">
        <v>388</v>
      </c>
      <c r="N84" s="88"/>
    </row>
    <row r="85" spans="2:14">
      <c r="B85" s="17"/>
      <c r="F85" s="154"/>
      <c r="G85" s="155" t="s">
        <v>41</v>
      </c>
      <c r="H85" s="156">
        <f>DASHBOARD!$D$57</f>
        <v>3.95</v>
      </c>
      <c r="I85" s="157">
        <v>1</v>
      </c>
      <c r="J85" s="155">
        <f>I82*J82/2</f>
        <v>4.7619047619047619</v>
      </c>
      <c r="K85" s="155">
        <f t="shared" si="9"/>
        <v>0</v>
      </c>
      <c r="L85" s="158">
        <f>F82*H85*I85*J85</f>
        <v>0</v>
      </c>
      <c r="M85" s="1" t="s">
        <v>385</v>
      </c>
      <c r="N85" s="88"/>
    </row>
    <row r="86" spans="2:14">
      <c r="B86" s="17"/>
      <c r="F86" s="154"/>
      <c r="G86" s="155" t="s">
        <v>384</v>
      </c>
      <c r="H86" s="156">
        <f>DASHBOARD!$D$58</f>
        <v>13.95</v>
      </c>
      <c r="I86" s="157">
        <v>1</v>
      </c>
      <c r="J86" s="155">
        <f>I82*J82/2</f>
        <v>4.7619047619047619</v>
      </c>
      <c r="K86" s="155">
        <f t="shared" si="9"/>
        <v>0</v>
      </c>
      <c r="L86" s="158">
        <f>F82*H86*I86*J86</f>
        <v>0</v>
      </c>
      <c r="M86" s="1" t="s">
        <v>385</v>
      </c>
      <c r="N86" s="88"/>
    </row>
    <row r="87" spans="2:14">
      <c r="B87" s="17"/>
      <c r="F87" s="154"/>
      <c r="G87" s="155" t="s">
        <v>389</v>
      </c>
      <c r="H87" s="156">
        <f>DASHBOARD!$D$71</f>
        <v>2.2799999999999998</v>
      </c>
      <c r="I87" s="157">
        <v>1</v>
      </c>
      <c r="J87" s="155">
        <v>100</v>
      </c>
      <c r="K87" s="155">
        <f t="shared" si="9"/>
        <v>0</v>
      </c>
      <c r="L87" s="158">
        <f>F82*H87*I87*J87</f>
        <v>0</v>
      </c>
      <c r="M87" s="1" t="s">
        <v>390</v>
      </c>
      <c r="N87" s="88" t="s">
        <v>391</v>
      </c>
    </row>
    <row r="88" spans="2:14">
      <c r="B88" s="17"/>
      <c r="F88" s="154"/>
      <c r="G88" s="155" t="s">
        <v>392</v>
      </c>
      <c r="H88" s="156">
        <f>DASHBOARD!$D$72</f>
        <v>0.39</v>
      </c>
      <c r="I88" s="157">
        <v>1</v>
      </c>
      <c r="J88" s="155">
        <v>100</v>
      </c>
      <c r="K88" s="155">
        <f t="shared" si="9"/>
        <v>0</v>
      </c>
      <c r="L88" s="158">
        <f>F82*H88*I88*J88</f>
        <v>0</v>
      </c>
      <c r="M88" s="1" t="s">
        <v>393</v>
      </c>
      <c r="N88" s="88" t="s">
        <v>394</v>
      </c>
    </row>
    <row r="89" spans="2:14" ht="31.5">
      <c r="B89" s="16"/>
      <c r="C89" s="5"/>
      <c r="D89" s="13"/>
      <c r="E89" s="19">
        <v>1</v>
      </c>
      <c r="F89" s="13">
        <f>DASHBOARD!D123</f>
        <v>0</v>
      </c>
      <c r="G89" s="41" t="s">
        <v>14</v>
      </c>
      <c r="H89" s="7">
        <f>DASHBOARD!$D$35</f>
        <v>24.612000000000002</v>
      </c>
      <c r="I89" s="34">
        <v>8</v>
      </c>
      <c r="J89" s="5">
        <f>J90+2/2</f>
        <v>1.6</v>
      </c>
      <c r="K89" s="5">
        <f t="shared" ref="K89:K95" si="10">$D$16*$F$64*$F$89*I89*J89</f>
        <v>0</v>
      </c>
      <c r="L89" s="6">
        <f>H89*I89*J89</f>
        <v>315.03360000000004</v>
      </c>
      <c r="M89" s="1" t="s">
        <v>322</v>
      </c>
      <c r="N89" s="83" t="s">
        <v>111</v>
      </c>
    </row>
    <row r="90" spans="2:14" ht="31.5">
      <c r="B90" s="16"/>
      <c r="C90" s="5"/>
      <c r="D90" s="13"/>
      <c r="E90" s="19" t="s">
        <v>153</v>
      </c>
      <c r="F90" s="13" t="s">
        <v>251</v>
      </c>
      <c r="G90" s="41" t="s">
        <v>17</v>
      </c>
      <c r="H90" s="7">
        <f>DASHBOARD!$D$36</f>
        <v>45.12</v>
      </c>
      <c r="I90" s="34">
        <v>8</v>
      </c>
      <c r="J90" s="5">
        <f>DASHBOARD!$D$146*100/480</f>
        <v>0.6</v>
      </c>
      <c r="K90" s="5">
        <f t="shared" si="10"/>
        <v>0</v>
      </c>
      <c r="L90" s="6">
        <f>H90*I90*J90</f>
        <v>216.57599999999999</v>
      </c>
      <c r="M90" s="1" t="s">
        <v>321</v>
      </c>
      <c r="N90" s="87" t="s">
        <v>112</v>
      </c>
    </row>
    <row r="91" spans="2:14">
      <c r="B91" s="16"/>
      <c r="C91" s="5"/>
      <c r="D91" s="13"/>
      <c r="E91" s="19"/>
      <c r="F91" s="13"/>
      <c r="G91" s="41" t="s">
        <v>6</v>
      </c>
      <c r="H91" s="3">
        <f>DASHBOARD!$D$40</f>
        <v>24.276</v>
      </c>
      <c r="I91" s="34">
        <v>8</v>
      </c>
      <c r="J91" s="5">
        <f>J90</f>
        <v>0.6</v>
      </c>
      <c r="K91" s="5">
        <f t="shared" si="10"/>
        <v>0</v>
      </c>
      <c r="L91" s="6">
        <f t="shared" ref="L91:L102" si="11">H91*I91*J91</f>
        <v>116.5248</v>
      </c>
      <c r="N91" s="87" t="s">
        <v>114</v>
      </c>
    </row>
    <row r="92" spans="2:14">
      <c r="B92" s="16"/>
      <c r="C92" s="5"/>
      <c r="D92" s="13"/>
      <c r="E92" s="19"/>
      <c r="F92" s="13"/>
      <c r="G92" s="41" t="s">
        <v>12</v>
      </c>
      <c r="H92" s="7">
        <f>DASHBOARD!$D$37</f>
        <v>19.8</v>
      </c>
      <c r="I92" s="34">
        <v>8</v>
      </c>
      <c r="J92" s="5">
        <v>0.8</v>
      </c>
      <c r="K92" s="5">
        <f>$D$16*$F$64*$F$89*I92*J92</f>
        <v>0</v>
      </c>
      <c r="L92" s="6">
        <f t="shared" si="11"/>
        <v>126.72000000000001</v>
      </c>
      <c r="M92" s="1" t="s">
        <v>320</v>
      </c>
      <c r="N92" s="87"/>
    </row>
    <row r="93" spans="2:14">
      <c r="B93" s="16"/>
      <c r="C93" s="5"/>
      <c r="D93" s="13"/>
      <c r="E93" s="19"/>
      <c r="F93" s="13"/>
      <c r="G93" s="41" t="s">
        <v>449</v>
      </c>
      <c r="H93" s="7">
        <f>DASHBOARD!$D$46</f>
        <v>54.804000000000002</v>
      </c>
      <c r="I93" s="34">
        <v>8</v>
      </c>
      <c r="J93" s="5">
        <v>0.2</v>
      </c>
      <c r="K93" s="5">
        <f t="shared" si="10"/>
        <v>0</v>
      </c>
      <c r="L93" s="6">
        <f t="shared" si="11"/>
        <v>87.686400000000006</v>
      </c>
      <c r="M93" s="1" t="s">
        <v>324</v>
      </c>
      <c r="N93" s="87"/>
    </row>
    <row r="94" spans="2:14">
      <c r="B94" s="16"/>
      <c r="C94" s="5"/>
      <c r="D94" s="13"/>
      <c r="E94" s="19"/>
      <c r="F94" s="13"/>
      <c r="G94" s="41" t="s">
        <v>323</v>
      </c>
      <c r="H94" s="7">
        <f>DASHBOARD!$D$47</f>
        <v>60</v>
      </c>
      <c r="I94" s="34">
        <v>8</v>
      </c>
      <c r="J94" s="5">
        <v>0.2</v>
      </c>
      <c r="K94" s="5">
        <f t="shared" si="10"/>
        <v>0</v>
      </c>
      <c r="L94" s="6">
        <f t="shared" si="11"/>
        <v>96</v>
      </c>
      <c r="M94" s="1" t="s">
        <v>324</v>
      </c>
      <c r="N94" s="87"/>
    </row>
    <row r="95" spans="2:14">
      <c r="B95" s="16"/>
      <c r="C95" s="5"/>
      <c r="D95" s="13"/>
      <c r="E95" s="19"/>
      <c r="F95" s="13"/>
      <c r="G95" s="41" t="s">
        <v>325</v>
      </c>
      <c r="H95" s="7">
        <f>DASHBOARD!$D$43</f>
        <v>21.599999999999998</v>
      </c>
      <c r="I95" s="34">
        <v>8</v>
      </c>
      <c r="J95" s="5">
        <v>0.8</v>
      </c>
      <c r="K95" s="5">
        <f t="shared" si="10"/>
        <v>0</v>
      </c>
      <c r="L95" s="6">
        <f t="shared" si="11"/>
        <v>138.23999999999998</v>
      </c>
      <c r="M95" s="1" t="s">
        <v>326</v>
      </c>
      <c r="N95" s="87"/>
    </row>
    <row r="96" spans="2:14">
      <c r="B96" s="16"/>
      <c r="C96" s="5"/>
      <c r="D96" s="13"/>
      <c r="E96" s="19"/>
      <c r="F96" s="13"/>
      <c r="G96" s="5" t="s">
        <v>8</v>
      </c>
      <c r="H96" s="7">
        <f>DASHBOARD!$D$56</f>
        <v>0.16259999999999999</v>
      </c>
      <c r="I96" s="34">
        <v>1</v>
      </c>
      <c r="J96" s="5">
        <f>4*J89</f>
        <v>6.4</v>
      </c>
      <c r="K96" s="5"/>
      <c r="L96" s="6">
        <f t="shared" si="11"/>
        <v>1.04064</v>
      </c>
      <c r="M96" s="1" t="s">
        <v>121</v>
      </c>
      <c r="N96" s="87" t="s">
        <v>116</v>
      </c>
    </row>
    <row r="97" spans="2:14">
      <c r="B97" s="16"/>
      <c r="C97" s="5"/>
      <c r="D97" s="13"/>
      <c r="E97" s="19"/>
      <c r="F97" s="13"/>
      <c r="G97" s="5" t="s">
        <v>41</v>
      </c>
      <c r="H97" s="7">
        <f>DASHBOARD!$D$57</f>
        <v>3.95</v>
      </c>
      <c r="I97" s="34">
        <v>1</v>
      </c>
      <c r="J97" s="5">
        <f>(4*J90)+(4*J91)+(4*0.6)</f>
        <v>7.1999999999999993</v>
      </c>
      <c r="K97" s="5"/>
      <c r="L97" s="6">
        <f t="shared" si="11"/>
        <v>28.439999999999998</v>
      </c>
      <c r="M97" s="1" t="s">
        <v>122</v>
      </c>
      <c r="N97" s="87" t="s">
        <v>117</v>
      </c>
    </row>
    <row r="98" spans="2:14">
      <c r="B98" s="16"/>
      <c r="C98" s="5"/>
      <c r="D98" s="13"/>
      <c r="E98" s="19"/>
      <c r="F98" s="13"/>
      <c r="G98" s="5" t="s">
        <v>9</v>
      </c>
      <c r="H98" s="7">
        <f>DASHBOARD!$D$58</f>
        <v>13.95</v>
      </c>
      <c r="I98" s="34">
        <v>1</v>
      </c>
      <c r="J98" s="5">
        <f>(4*J90)+(4*J91)+(4*0.6)</f>
        <v>7.1999999999999993</v>
      </c>
      <c r="K98" s="5"/>
      <c r="L98" s="6">
        <f t="shared" si="11"/>
        <v>100.43999999999998</v>
      </c>
      <c r="M98" s="1" t="s">
        <v>122</v>
      </c>
      <c r="N98" s="87" t="s">
        <v>118</v>
      </c>
    </row>
    <row r="99" spans="2:14">
      <c r="B99" s="16"/>
      <c r="C99" s="5"/>
      <c r="D99" s="13"/>
      <c r="E99" s="19"/>
      <c r="F99" s="13"/>
      <c r="G99" s="5" t="s">
        <v>16</v>
      </c>
      <c r="H99" s="7">
        <f>DASHBOARD!$D$59</f>
        <v>0.23960000000000001</v>
      </c>
      <c r="I99" s="34">
        <v>1</v>
      </c>
      <c r="J99" s="5">
        <f>(4*(J89-0.6))+100+100+100</f>
        <v>304</v>
      </c>
      <c r="K99" s="5"/>
      <c r="L99" s="6">
        <f t="shared" si="11"/>
        <v>72.838400000000007</v>
      </c>
      <c r="M99" s="1" t="s">
        <v>123</v>
      </c>
      <c r="N99" s="87" t="s">
        <v>119</v>
      </c>
    </row>
    <row r="100" spans="2:14">
      <c r="B100" s="16"/>
      <c r="C100" s="5"/>
      <c r="D100" s="13"/>
      <c r="E100" s="19"/>
      <c r="F100" s="13"/>
      <c r="G100" s="5" t="s">
        <v>10</v>
      </c>
      <c r="H100" s="7">
        <f>DASHBOARD!$D$60</f>
        <v>1.7004999999999999</v>
      </c>
      <c r="I100" s="34">
        <v>1</v>
      </c>
      <c r="J100" s="5">
        <f>100+100+100</f>
        <v>300</v>
      </c>
      <c r="K100" s="5"/>
      <c r="L100" s="6">
        <f t="shared" si="11"/>
        <v>510.15</v>
      </c>
      <c r="M100" s="1" t="s">
        <v>124</v>
      </c>
      <c r="N100" s="87" t="s">
        <v>119</v>
      </c>
    </row>
    <row r="101" spans="2:14">
      <c r="B101" s="16"/>
      <c r="C101" s="5"/>
      <c r="D101" s="13"/>
      <c r="E101" s="19"/>
      <c r="F101" s="13"/>
      <c r="G101" s="5" t="s">
        <v>144</v>
      </c>
      <c r="H101" s="7">
        <f>DASHBOARD!$D$61</f>
        <v>3.32</v>
      </c>
      <c r="I101" s="34">
        <v>1</v>
      </c>
      <c r="J101" s="5">
        <v>100</v>
      </c>
      <c r="K101" s="5"/>
      <c r="L101" s="6">
        <f t="shared" si="11"/>
        <v>332</v>
      </c>
      <c r="M101" s="1" t="s">
        <v>145</v>
      </c>
      <c r="N101" s="89" t="s">
        <v>147</v>
      </c>
    </row>
    <row r="102" spans="2:14">
      <c r="B102" s="16"/>
      <c r="C102" s="5"/>
      <c r="D102" s="13"/>
      <c r="E102" s="19"/>
      <c r="F102" s="13"/>
      <c r="G102" s="5" t="s">
        <v>11</v>
      </c>
      <c r="H102" s="7">
        <f>DASHBOARD!$D$62</f>
        <v>0.72</v>
      </c>
      <c r="I102" s="34">
        <v>1</v>
      </c>
      <c r="J102" s="5">
        <f>100</f>
        <v>100</v>
      </c>
      <c r="K102" s="5"/>
      <c r="L102" s="6">
        <f t="shared" si="11"/>
        <v>72</v>
      </c>
      <c r="M102" s="1" t="s">
        <v>146</v>
      </c>
      <c r="N102" s="89" t="s">
        <v>148</v>
      </c>
    </row>
    <row r="103" spans="2:14">
      <c r="B103" s="16"/>
      <c r="C103" s="5"/>
      <c r="D103" s="13"/>
      <c r="E103" s="19"/>
      <c r="F103" s="119">
        <f>DASHBOARD!$D$110</f>
        <v>0</v>
      </c>
      <c r="G103" s="120"/>
      <c r="H103" s="121"/>
      <c r="I103" s="122"/>
      <c r="J103" s="120"/>
      <c r="K103" s="120"/>
      <c r="L103" s="123">
        <f>F103*H103*I103*J103</f>
        <v>0</v>
      </c>
      <c r="N103" s="89"/>
    </row>
    <row r="104" spans="2:14">
      <c r="B104" s="16"/>
      <c r="C104" s="5"/>
      <c r="D104" s="13"/>
      <c r="E104" s="19"/>
      <c r="F104" s="124" t="s">
        <v>281</v>
      </c>
      <c r="G104" s="120"/>
      <c r="H104" s="121"/>
      <c r="I104" s="122"/>
      <c r="J104" s="120"/>
      <c r="K104" s="120"/>
      <c r="L104" s="123">
        <f>F103*H104*I104*J104</f>
        <v>0</v>
      </c>
      <c r="N104" s="89"/>
    </row>
    <row r="105" spans="2:14">
      <c r="B105" s="16"/>
      <c r="C105" s="5"/>
      <c r="D105" s="13"/>
      <c r="E105" s="19"/>
      <c r="F105" s="119"/>
      <c r="G105" s="120"/>
      <c r="H105" s="121"/>
      <c r="I105" s="122"/>
      <c r="J105" s="120"/>
      <c r="K105" s="120"/>
      <c r="L105" s="123">
        <f>F103*H105*I105*J105</f>
        <v>0</v>
      </c>
      <c r="N105" s="89"/>
    </row>
    <row r="106" spans="2:14">
      <c r="B106" s="16"/>
      <c r="C106" s="5"/>
      <c r="D106" s="13"/>
      <c r="E106" s="19"/>
      <c r="F106" s="119"/>
      <c r="G106" s="120"/>
      <c r="H106" s="121"/>
      <c r="I106" s="122"/>
      <c r="J106" s="120"/>
      <c r="K106" s="120"/>
      <c r="L106" s="123">
        <f>F103*H106*I106*J106</f>
        <v>0</v>
      </c>
      <c r="N106" s="89"/>
    </row>
    <row r="107" spans="2:14">
      <c r="B107" s="17"/>
      <c r="F107" s="154">
        <f>DASHBOARD!$D$112</f>
        <v>0</v>
      </c>
      <c r="G107" s="155" t="s">
        <v>381</v>
      </c>
      <c r="H107" s="156">
        <f>DASHBOARD!$D$42</f>
        <v>30</v>
      </c>
      <c r="I107" s="157">
        <v>8</v>
      </c>
      <c r="J107" s="155">
        <f>((DASHBOARD!$D$113*100)/480)*(8/7)</f>
        <v>1.1904761904761905</v>
      </c>
      <c r="K107" s="155">
        <f t="shared" ref="K107:K113" si="12">$D$16*$F$64*$F$89*$F$107*I107*J107</f>
        <v>0</v>
      </c>
      <c r="L107" s="158">
        <f>F107*H107*I107*J107</f>
        <v>0</v>
      </c>
      <c r="M107" s="1" t="s">
        <v>460</v>
      </c>
      <c r="N107" s="88" t="s">
        <v>387</v>
      </c>
    </row>
    <row r="108" spans="2:14">
      <c r="B108" s="17"/>
      <c r="F108" s="159" t="s">
        <v>281</v>
      </c>
      <c r="G108" s="155" t="s">
        <v>382</v>
      </c>
      <c r="H108" s="156">
        <f>DASHBOARD!$D$59</f>
        <v>0.23960000000000001</v>
      </c>
      <c r="I108" s="157">
        <v>1</v>
      </c>
      <c r="J108" s="155">
        <v>100</v>
      </c>
      <c r="K108" s="155">
        <f t="shared" si="12"/>
        <v>0</v>
      </c>
      <c r="L108" s="158">
        <f>F107*H108*I108*J108</f>
        <v>0</v>
      </c>
      <c r="M108" s="1" t="s">
        <v>388</v>
      </c>
      <c r="N108" s="88"/>
    </row>
    <row r="109" spans="2:14">
      <c r="B109" s="17"/>
      <c r="F109" s="159" t="s">
        <v>380</v>
      </c>
      <c r="G109" s="155" t="s">
        <v>383</v>
      </c>
      <c r="H109" s="156">
        <f>DASHBOARD!$D$60</f>
        <v>1.7004999999999999</v>
      </c>
      <c r="I109" s="157">
        <v>1</v>
      </c>
      <c r="J109" s="155">
        <v>100</v>
      </c>
      <c r="K109" s="155">
        <f t="shared" si="12"/>
        <v>0</v>
      </c>
      <c r="L109" s="158">
        <f>F107*H109*I109*J109</f>
        <v>0</v>
      </c>
      <c r="M109" s="1" t="s">
        <v>388</v>
      </c>
      <c r="N109" s="88"/>
    </row>
    <row r="110" spans="2:14">
      <c r="B110" s="17"/>
      <c r="F110" s="154"/>
      <c r="G110" s="155" t="s">
        <v>41</v>
      </c>
      <c r="H110" s="156">
        <f>DASHBOARD!$D$57</f>
        <v>3.95</v>
      </c>
      <c r="I110" s="157">
        <v>1</v>
      </c>
      <c r="J110" s="155">
        <f>I107*J107/2</f>
        <v>4.7619047619047619</v>
      </c>
      <c r="K110" s="155">
        <f t="shared" si="12"/>
        <v>0</v>
      </c>
      <c r="L110" s="158">
        <f>F107*H110*I110*J110</f>
        <v>0</v>
      </c>
      <c r="M110" s="1" t="s">
        <v>385</v>
      </c>
      <c r="N110" s="88"/>
    </row>
    <row r="111" spans="2:14">
      <c r="B111" s="17"/>
      <c r="F111" s="154"/>
      <c r="G111" s="155" t="s">
        <v>384</v>
      </c>
      <c r="H111" s="156">
        <f>DASHBOARD!$D$58</f>
        <v>13.95</v>
      </c>
      <c r="I111" s="157">
        <v>1</v>
      </c>
      <c r="J111" s="155">
        <f>I107*J107/2</f>
        <v>4.7619047619047619</v>
      </c>
      <c r="K111" s="155">
        <f t="shared" si="12"/>
        <v>0</v>
      </c>
      <c r="L111" s="158">
        <f>F107*H111*I111*J111</f>
        <v>0</v>
      </c>
      <c r="M111" s="1" t="s">
        <v>385</v>
      </c>
      <c r="N111" s="88"/>
    </row>
    <row r="112" spans="2:14">
      <c r="B112" s="17"/>
      <c r="F112" s="154"/>
      <c r="G112" s="155" t="s">
        <v>389</v>
      </c>
      <c r="H112" s="156">
        <f>DASHBOARD!$D$71</f>
        <v>2.2799999999999998</v>
      </c>
      <c r="I112" s="157">
        <v>1</v>
      </c>
      <c r="J112" s="155">
        <v>100</v>
      </c>
      <c r="K112" s="155">
        <f t="shared" si="12"/>
        <v>0</v>
      </c>
      <c r="L112" s="158">
        <f>F107*H112*I112*J112</f>
        <v>0</v>
      </c>
      <c r="M112" s="1" t="s">
        <v>390</v>
      </c>
      <c r="N112" s="88" t="s">
        <v>391</v>
      </c>
    </row>
    <row r="113" spans="2:14">
      <c r="B113" s="17"/>
      <c r="F113" s="154"/>
      <c r="G113" s="155" t="s">
        <v>392</v>
      </c>
      <c r="H113" s="156">
        <f>DASHBOARD!$D$72</f>
        <v>0.39</v>
      </c>
      <c r="I113" s="157">
        <v>1</v>
      </c>
      <c r="J113" s="155">
        <v>100</v>
      </c>
      <c r="K113" s="155">
        <f t="shared" si="12"/>
        <v>0</v>
      </c>
      <c r="L113" s="158">
        <f>F107*H113*I113*J113</f>
        <v>0</v>
      </c>
      <c r="M113" s="1" t="s">
        <v>393</v>
      </c>
      <c r="N113" s="88" t="s">
        <v>394</v>
      </c>
    </row>
    <row r="114" spans="2:14" ht="63">
      <c r="B114" s="17"/>
      <c r="D114" s="92">
        <v>0</v>
      </c>
      <c r="E114" s="21">
        <v>2</v>
      </c>
      <c r="F114" s="2">
        <f>1-F144</f>
        <v>1</v>
      </c>
      <c r="G114" s="42" t="s">
        <v>14</v>
      </c>
      <c r="H114" s="3">
        <f>DASHBOARD!$D$35</f>
        <v>24.612000000000002</v>
      </c>
      <c r="I114" s="32">
        <v>12</v>
      </c>
      <c r="J114" s="1">
        <v>1.1399999999999999</v>
      </c>
      <c r="K114" s="1">
        <f>$D$114*$F$114*I114*J114</f>
        <v>0</v>
      </c>
      <c r="L114" s="6">
        <f t="shared" si="1"/>
        <v>336.69216</v>
      </c>
      <c r="M114" s="1" t="s">
        <v>355</v>
      </c>
      <c r="N114" s="83" t="s">
        <v>130</v>
      </c>
    </row>
    <row r="115" spans="2:14">
      <c r="B115" s="17"/>
      <c r="G115" s="42" t="s">
        <v>17</v>
      </c>
      <c r="H115" s="3">
        <f>DASHBOARD!$D$36</f>
        <v>45.12</v>
      </c>
      <c r="I115" s="32">
        <v>12</v>
      </c>
      <c r="J115" s="11">
        <v>0.4</v>
      </c>
      <c r="K115" s="1">
        <f t="shared" ref="K115:K125" si="13">$D$114*$F$114*I115*J115</f>
        <v>0</v>
      </c>
      <c r="L115" s="6">
        <f t="shared" si="1"/>
        <v>216.57599999999999</v>
      </c>
      <c r="M115" s="1" t="s">
        <v>356</v>
      </c>
      <c r="N115" s="87" t="s">
        <v>112</v>
      </c>
    </row>
    <row r="116" spans="2:14">
      <c r="B116" s="17"/>
      <c r="G116" s="42" t="s">
        <v>12</v>
      </c>
      <c r="H116" s="3">
        <f>DASHBOARD!$D$37</f>
        <v>19.8</v>
      </c>
      <c r="I116" s="32">
        <v>12</v>
      </c>
      <c r="J116" s="1">
        <v>0.28999999999999998</v>
      </c>
      <c r="K116" s="1">
        <f t="shared" si="13"/>
        <v>0</v>
      </c>
      <c r="L116" s="6">
        <f t="shared" si="1"/>
        <v>68.903999999999996</v>
      </c>
      <c r="M116" s="1" t="s">
        <v>357</v>
      </c>
      <c r="N116" s="87" t="s">
        <v>113</v>
      </c>
    </row>
    <row r="117" spans="2:14">
      <c r="B117" s="17"/>
      <c r="G117" s="42" t="s">
        <v>353</v>
      </c>
      <c r="H117" s="3">
        <f>DASHBOARD!$D$54</f>
        <v>60</v>
      </c>
      <c r="I117" s="32">
        <v>12</v>
      </c>
      <c r="J117" s="1">
        <v>0.09</v>
      </c>
      <c r="K117" s="1">
        <f t="shared" si="13"/>
        <v>0</v>
      </c>
      <c r="L117" s="6">
        <f t="shared" si="1"/>
        <v>64.8</v>
      </c>
      <c r="M117" s="1" t="s">
        <v>358</v>
      </c>
      <c r="N117" s="87" t="s">
        <v>114</v>
      </c>
    </row>
    <row r="118" spans="2:14">
      <c r="B118" s="17"/>
      <c r="G118" s="42" t="s">
        <v>6</v>
      </c>
      <c r="H118" s="3">
        <f>DASHBOARD!$D$40</f>
        <v>24.276</v>
      </c>
      <c r="I118" s="32">
        <v>12</v>
      </c>
      <c r="J118" s="1">
        <v>0.56999999999999995</v>
      </c>
      <c r="K118" s="1">
        <f t="shared" si="13"/>
        <v>0</v>
      </c>
      <c r="L118" s="6">
        <f t="shared" si="1"/>
        <v>166.04783999999998</v>
      </c>
      <c r="M118" s="1" t="s">
        <v>359</v>
      </c>
      <c r="N118" s="87" t="s">
        <v>112</v>
      </c>
    </row>
    <row r="119" spans="2:14">
      <c r="B119" s="17"/>
      <c r="G119" s="42" t="s">
        <v>40</v>
      </c>
      <c r="H119" s="3">
        <f>DASHBOARD!$D$52</f>
        <v>48</v>
      </c>
      <c r="I119" s="32">
        <v>12</v>
      </c>
      <c r="J119" s="1">
        <v>0.06</v>
      </c>
      <c r="K119" s="1">
        <f t="shared" si="13"/>
        <v>0</v>
      </c>
      <c r="L119" s="6">
        <f t="shared" si="1"/>
        <v>34.56</v>
      </c>
      <c r="M119" s="1" t="s">
        <v>360</v>
      </c>
      <c r="N119" s="87" t="s">
        <v>112</v>
      </c>
    </row>
    <row r="120" spans="2:14">
      <c r="B120" s="17"/>
      <c r="G120" s="42" t="s">
        <v>325</v>
      </c>
      <c r="H120" s="3">
        <f>DASHBOARD!$D$43</f>
        <v>21.599999999999998</v>
      </c>
      <c r="I120" s="32">
        <v>12</v>
      </c>
      <c r="J120" s="1">
        <v>0.06</v>
      </c>
      <c r="K120" s="1">
        <f t="shared" si="13"/>
        <v>0</v>
      </c>
      <c r="L120" s="6">
        <f t="shared" si="1"/>
        <v>15.552</v>
      </c>
      <c r="M120" s="1" t="s">
        <v>360</v>
      </c>
      <c r="N120" s="87"/>
    </row>
    <row r="121" spans="2:14">
      <c r="B121" s="17"/>
      <c r="G121" s="42" t="s">
        <v>230</v>
      </c>
      <c r="H121" s="3">
        <f>DASHBOARD!$D$55</f>
        <v>32.963999999999999</v>
      </c>
      <c r="I121" s="32">
        <v>12</v>
      </c>
      <c r="J121" s="1">
        <v>0.03</v>
      </c>
      <c r="K121" s="1">
        <f t="shared" si="13"/>
        <v>0</v>
      </c>
      <c r="L121" s="6">
        <f t="shared" si="1"/>
        <v>11.867039999999999</v>
      </c>
      <c r="M121" s="1" t="s">
        <v>361</v>
      </c>
      <c r="N121" s="87"/>
    </row>
    <row r="122" spans="2:14">
      <c r="B122" s="17"/>
      <c r="G122" s="42" t="s">
        <v>180</v>
      </c>
      <c r="H122" s="3">
        <f>DASHBOARD!$D$53</f>
        <v>121.78799999999998</v>
      </c>
      <c r="I122" s="32">
        <v>12</v>
      </c>
      <c r="J122" s="1">
        <v>0.03</v>
      </c>
      <c r="K122" s="1">
        <f t="shared" si="13"/>
        <v>0</v>
      </c>
      <c r="L122" s="6">
        <f t="shared" si="1"/>
        <v>43.843679999999992</v>
      </c>
      <c r="M122" s="1" t="s">
        <v>361</v>
      </c>
      <c r="N122" s="87"/>
    </row>
    <row r="123" spans="2:14">
      <c r="B123" s="17"/>
      <c r="G123" s="42" t="s">
        <v>449</v>
      </c>
      <c r="H123" s="3">
        <f>DASHBOARD!$D$46</f>
        <v>54.804000000000002</v>
      </c>
      <c r="I123" s="32">
        <v>12</v>
      </c>
      <c r="J123" s="1">
        <v>0.03</v>
      </c>
      <c r="K123" s="1">
        <f t="shared" si="13"/>
        <v>0</v>
      </c>
      <c r="L123" s="6">
        <f t="shared" si="1"/>
        <v>19.72944</v>
      </c>
      <c r="M123" s="1" t="s">
        <v>361</v>
      </c>
      <c r="N123" s="87"/>
    </row>
    <row r="124" spans="2:14">
      <c r="B124" s="17"/>
      <c r="G124" s="42" t="s">
        <v>354</v>
      </c>
      <c r="H124" s="3">
        <f>DASHBOARD!$D$48</f>
        <v>39.995999999999995</v>
      </c>
      <c r="I124" s="32">
        <v>12</v>
      </c>
      <c r="J124" s="1">
        <v>0.03</v>
      </c>
      <c r="K124" s="1">
        <f t="shared" si="13"/>
        <v>0</v>
      </c>
      <c r="L124" s="6">
        <f t="shared" si="1"/>
        <v>14.398559999999998</v>
      </c>
      <c r="M124" s="1" t="s">
        <v>361</v>
      </c>
      <c r="N124" s="87"/>
    </row>
    <row r="125" spans="2:14">
      <c r="B125" s="17"/>
      <c r="G125" s="42" t="s">
        <v>27</v>
      </c>
      <c r="H125" s="3">
        <f>DASHBOARD!$D$39</f>
        <v>30</v>
      </c>
      <c r="I125" s="32">
        <v>12</v>
      </c>
      <c r="J125" s="1">
        <v>0.03</v>
      </c>
      <c r="K125" s="1">
        <f t="shared" si="13"/>
        <v>0</v>
      </c>
      <c r="L125" s="6">
        <f t="shared" si="1"/>
        <v>10.799999999999999</v>
      </c>
      <c r="M125" s="1" t="s">
        <v>361</v>
      </c>
      <c r="N125" s="87" t="s">
        <v>115</v>
      </c>
    </row>
    <row r="126" spans="2:14">
      <c r="B126" s="17"/>
      <c r="G126" s="5" t="s">
        <v>8</v>
      </c>
      <c r="H126" s="7">
        <f>DASHBOARD!D56</f>
        <v>0.16259999999999999</v>
      </c>
      <c r="I126" s="34">
        <v>1</v>
      </c>
      <c r="J126" s="11">
        <f>(4*J114/2)+(4*J115)</f>
        <v>3.88</v>
      </c>
      <c r="K126" s="11"/>
      <c r="L126" s="6">
        <f t="shared" si="1"/>
        <v>0.630888</v>
      </c>
      <c r="M126" s="1" t="s">
        <v>126</v>
      </c>
      <c r="N126" s="87" t="s">
        <v>116</v>
      </c>
    </row>
    <row r="127" spans="2:14">
      <c r="B127" s="17"/>
      <c r="G127" s="5" t="s">
        <v>41</v>
      </c>
      <c r="H127" s="7">
        <f>DASHBOARD!D57</f>
        <v>3.95</v>
      </c>
      <c r="I127" s="34">
        <v>1</v>
      </c>
      <c r="J127" s="11">
        <f>(4*J115)+(4*J125)+(4*J114/2)</f>
        <v>4</v>
      </c>
      <c r="K127" s="11"/>
      <c r="L127" s="6">
        <f t="shared" si="1"/>
        <v>15.8</v>
      </c>
      <c r="M127" s="1" t="s">
        <v>122</v>
      </c>
      <c r="N127" s="87" t="s">
        <v>117</v>
      </c>
    </row>
    <row r="128" spans="2:14">
      <c r="B128" s="17"/>
      <c r="G128" s="5" t="s">
        <v>9</v>
      </c>
      <c r="H128" s="7">
        <f>DASHBOARD!D58</f>
        <v>13.95</v>
      </c>
      <c r="I128" s="34">
        <v>1</v>
      </c>
      <c r="J128" s="11">
        <f>(4*J115)+(4*J125)+(4*J114/2)</f>
        <v>4</v>
      </c>
      <c r="K128" s="11"/>
      <c r="L128" s="6">
        <f t="shared" si="1"/>
        <v>55.8</v>
      </c>
      <c r="M128" s="1" t="s">
        <v>122</v>
      </c>
      <c r="N128" s="87" t="s">
        <v>118</v>
      </c>
    </row>
    <row r="129" spans="2:14" ht="58.35" customHeight="1">
      <c r="B129" s="17"/>
      <c r="G129" s="5" t="s">
        <v>16</v>
      </c>
      <c r="H129" s="7">
        <f>DASHBOARD!D59</f>
        <v>0.23960000000000001</v>
      </c>
      <c r="I129" s="34">
        <v>1</v>
      </c>
      <c r="J129" s="12">
        <f>(4*J114/2)+(4*J115)+(4*J125)+100+100</f>
        <v>204</v>
      </c>
      <c r="K129" s="12"/>
      <c r="L129" s="6">
        <f t="shared" si="1"/>
        <v>48.878399999999999</v>
      </c>
      <c r="M129" s="1" t="s">
        <v>127</v>
      </c>
      <c r="N129" s="87" t="s">
        <v>119</v>
      </c>
    </row>
    <row r="130" spans="2:14">
      <c r="B130" s="17"/>
      <c r="G130" s="5" t="s">
        <v>10</v>
      </c>
      <c r="H130" s="7">
        <f>DASHBOARD!D60</f>
        <v>1.7004999999999999</v>
      </c>
      <c r="I130" s="34">
        <v>1</v>
      </c>
      <c r="J130" s="12">
        <f>(4*J125)+100+100</f>
        <v>200.12</v>
      </c>
      <c r="K130" s="12"/>
      <c r="L130" s="6">
        <f t="shared" si="1"/>
        <v>340.30405999999999</v>
      </c>
      <c r="M130" s="1" t="s">
        <v>124</v>
      </c>
      <c r="N130" s="87" t="s">
        <v>119</v>
      </c>
    </row>
    <row r="131" spans="2:14">
      <c r="B131" s="17"/>
      <c r="G131" s="5" t="s">
        <v>144</v>
      </c>
      <c r="H131" s="7">
        <f>DASHBOARD!D61</f>
        <v>3.32</v>
      </c>
      <c r="I131" s="34">
        <v>1</v>
      </c>
      <c r="J131" s="5">
        <v>100</v>
      </c>
      <c r="K131" s="5"/>
      <c r="L131" s="6">
        <f t="shared" si="1"/>
        <v>332</v>
      </c>
      <c r="M131" s="1" t="s">
        <v>145</v>
      </c>
      <c r="N131" s="89" t="s">
        <v>147</v>
      </c>
    </row>
    <row r="132" spans="2:14">
      <c r="B132" s="17"/>
      <c r="G132" s="5" t="s">
        <v>11</v>
      </c>
      <c r="H132" s="7">
        <f>DASHBOARD!D62</f>
        <v>0.72</v>
      </c>
      <c r="I132" s="34">
        <v>1</v>
      </c>
      <c r="J132" s="5">
        <f>100</f>
        <v>100</v>
      </c>
      <c r="K132" s="5"/>
      <c r="L132" s="6">
        <f t="shared" si="1"/>
        <v>72</v>
      </c>
      <c r="M132" s="1" t="s">
        <v>146</v>
      </c>
      <c r="N132" s="89" t="s">
        <v>148</v>
      </c>
    </row>
    <row r="133" spans="2:14">
      <c r="B133" s="17"/>
      <c r="F133" s="119">
        <f>DASHBOARD!$D$110</f>
        <v>0</v>
      </c>
      <c r="G133" s="120"/>
      <c r="H133" s="121"/>
      <c r="I133" s="122"/>
      <c r="J133" s="120"/>
      <c r="K133" s="120"/>
      <c r="L133" s="123">
        <f>F133*H133*I133*J133</f>
        <v>0</v>
      </c>
      <c r="N133" s="89"/>
    </row>
    <row r="134" spans="2:14">
      <c r="B134" s="17"/>
      <c r="F134" s="124" t="s">
        <v>281</v>
      </c>
      <c r="G134" s="120"/>
      <c r="H134" s="121"/>
      <c r="I134" s="122"/>
      <c r="J134" s="120"/>
      <c r="K134" s="120"/>
      <c r="L134" s="123">
        <f>F133*H134*I134*J134</f>
        <v>0</v>
      </c>
      <c r="N134" s="89"/>
    </row>
    <row r="135" spans="2:14">
      <c r="B135" s="17"/>
      <c r="F135" s="119"/>
      <c r="G135" s="120"/>
      <c r="H135" s="121"/>
      <c r="I135" s="122"/>
      <c r="J135" s="120"/>
      <c r="K135" s="120"/>
      <c r="L135" s="123">
        <f>F133*H135*I135*J135</f>
        <v>0</v>
      </c>
      <c r="N135" s="89"/>
    </row>
    <row r="136" spans="2:14">
      <c r="B136" s="17"/>
      <c r="F136" s="119"/>
      <c r="G136" s="120"/>
      <c r="H136" s="121"/>
      <c r="I136" s="122"/>
      <c r="J136" s="120"/>
      <c r="K136" s="120"/>
      <c r="L136" s="123">
        <f>F133*H136*I136*J136</f>
        <v>0</v>
      </c>
      <c r="N136" s="89"/>
    </row>
    <row r="137" spans="2:14">
      <c r="B137" s="17"/>
      <c r="F137" s="154">
        <f>DASHBOARD!$D$112</f>
        <v>0</v>
      </c>
      <c r="G137" s="155" t="s">
        <v>381</v>
      </c>
      <c r="H137" s="156">
        <f>DASHBOARD!$D$42</f>
        <v>30</v>
      </c>
      <c r="I137" s="157">
        <v>8</v>
      </c>
      <c r="J137" s="155">
        <f>((DASHBOARD!$D$113*100)/480)*(8/7)</f>
        <v>1.1904761904761905</v>
      </c>
      <c r="K137" s="155">
        <f>$D$114*$F$114*$F$137*I137*J137</f>
        <v>0</v>
      </c>
      <c r="L137" s="158">
        <f>F137*H137*I137*J137</f>
        <v>0</v>
      </c>
      <c r="M137" s="1" t="s">
        <v>460</v>
      </c>
      <c r="N137" s="88" t="s">
        <v>387</v>
      </c>
    </row>
    <row r="138" spans="2:14">
      <c r="B138" s="17"/>
      <c r="F138" s="159" t="s">
        <v>281</v>
      </c>
      <c r="G138" s="155" t="s">
        <v>382</v>
      </c>
      <c r="H138" s="156">
        <f>DASHBOARD!$D$59</f>
        <v>0.23960000000000001</v>
      </c>
      <c r="I138" s="157">
        <v>1</v>
      </c>
      <c r="J138" s="155">
        <v>100</v>
      </c>
      <c r="K138" s="155">
        <f t="shared" ref="K138:K143" si="14">$D$114*$F$114*$F$137*I138*J138</f>
        <v>0</v>
      </c>
      <c r="L138" s="158">
        <f>F137*H138*I138*J138</f>
        <v>0</v>
      </c>
      <c r="M138" s="1" t="s">
        <v>388</v>
      </c>
      <c r="N138" s="88"/>
    </row>
    <row r="139" spans="2:14">
      <c r="B139" s="17"/>
      <c r="F139" s="159" t="s">
        <v>380</v>
      </c>
      <c r="G139" s="155" t="s">
        <v>383</v>
      </c>
      <c r="H139" s="156">
        <f>DASHBOARD!$D$60</f>
        <v>1.7004999999999999</v>
      </c>
      <c r="I139" s="157">
        <v>1</v>
      </c>
      <c r="J139" s="155">
        <v>100</v>
      </c>
      <c r="K139" s="155">
        <f t="shared" si="14"/>
        <v>0</v>
      </c>
      <c r="L139" s="158">
        <f>F137*H139*I139*J139</f>
        <v>0</v>
      </c>
      <c r="M139" s="1" t="s">
        <v>388</v>
      </c>
      <c r="N139" s="88"/>
    </row>
    <row r="140" spans="2:14">
      <c r="B140" s="17"/>
      <c r="F140" s="154"/>
      <c r="G140" s="155" t="s">
        <v>41</v>
      </c>
      <c r="H140" s="156">
        <f>DASHBOARD!$D$57</f>
        <v>3.95</v>
      </c>
      <c r="I140" s="157">
        <v>1</v>
      </c>
      <c r="J140" s="155">
        <f>I137*J137/2</f>
        <v>4.7619047619047619</v>
      </c>
      <c r="K140" s="155">
        <f t="shared" si="14"/>
        <v>0</v>
      </c>
      <c r="L140" s="158">
        <f>F137*H140*I140*J140</f>
        <v>0</v>
      </c>
      <c r="M140" s="1" t="s">
        <v>385</v>
      </c>
      <c r="N140" s="88"/>
    </row>
    <row r="141" spans="2:14">
      <c r="B141" s="17"/>
      <c r="F141" s="154"/>
      <c r="G141" s="155" t="s">
        <v>384</v>
      </c>
      <c r="H141" s="156">
        <f>DASHBOARD!$D$58</f>
        <v>13.95</v>
      </c>
      <c r="I141" s="157">
        <v>1</v>
      </c>
      <c r="J141" s="155">
        <f>I137*J137/2</f>
        <v>4.7619047619047619</v>
      </c>
      <c r="K141" s="155">
        <f t="shared" si="14"/>
        <v>0</v>
      </c>
      <c r="L141" s="158">
        <f>F137*H141*I141*J141</f>
        <v>0</v>
      </c>
      <c r="M141" s="1" t="s">
        <v>385</v>
      </c>
      <c r="N141" s="88"/>
    </row>
    <row r="142" spans="2:14">
      <c r="B142" s="17"/>
      <c r="F142" s="154"/>
      <c r="G142" s="155" t="s">
        <v>389</v>
      </c>
      <c r="H142" s="156">
        <f>DASHBOARD!$D$71</f>
        <v>2.2799999999999998</v>
      </c>
      <c r="I142" s="157">
        <v>1</v>
      </c>
      <c r="J142" s="155">
        <v>100</v>
      </c>
      <c r="K142" s="155">
        <f t="shared" si="14"/>
        <v>0</v>
      </c>
      <c r="L142" s="158">
        <f>F137*H142*I142*J142</f>
        <v>0</v>
      </c>
      <c r="M142" s="1" t="s">
        <v>390</v>
      </c>
      <c r="N142" s="88" t="s">
        <v>391</v>
      </c>
    </row>
    <row r="143" spans="2:14">
      <c r="B143" s="17"/>
      <c r="F143" s="154"/>
      <c r="G143" s="155" t="s">
        <v>392</v>
      </c>
      <c r="H143" s="156">
        <f>DASHBOARD!$D$72</f>
        <v>0.39</v>
      </c>
      <c r="I143" s="157">
        <v>1</v>
      </c>
      <c r="J143" s="155">
        <v>100</v>
      </c>
      <c r="K143" s="155">
        <f t="shared" si="14"/>
        <v>0</v>
      </c>
      <c r="L143" s="158">
        <f>F137*H143*I143*J143</f>
        <v>0</v>
      </c>
      <c r="M143" s="1" t="s">
        <v>393</v>
      </c>
      <c r="N143" s="88" t="s">
        <v>394</v>
      </c>
    </row>
    <row r="144" spans="2:14" ht="63">
      <c r="B144" s="17"/>
      <c r="F144" s="2">
        <f>DASHBOARD!D123</f>
        <v>0</v>
      </c>
      <c r="G144" s="42" t="s">
        <v>14</v>
      </c>
      <c r="H144" s="3">
        <f>DASHBOARD!$D$35</f>
        <v>24.612000000000002</v>
      </c>
      <c r="I144" s="32">
        <v>12</v>
      </c>
      <c r="J144" s="1">
        <f>J114/4*3</f>
        <v>0.85499999999999998</v>
      </c>
      <c r="K144" s="1">
        <f>$D$114*$F$144*I144*J144</f>
        <v>0</v>
      </c>
      <c r="L144" s="6">
        <f>H144*I144*J144</f>
        <v>252.51912000000004</v>
      </c>
      <c r="M144" s="1" t="s">
        <v>362</v>
      </c>
      <c r="N144" s="83" t="s">
        <v>130</v>
      </c>
    </row>
    <row r="145" spans="2:14">
      <c r="B145" s="17"/>
      <c r="G145" s="42" t="s">
        <v>17</v>
      </c>
      <c r="H145" s="3">
        <f>DASHBOARD!$D$36</f>
        <v>45.12</v>
      </c>
      <c r="I145" s="32">
        <v>12</v>
      </c>
      <c r="J145" s="11">
        <v>0.4</v>
      </c>
      <c r="K145" s="1">
        <f t="shared" ref="K145:K155" si="15">$D$114*$F$144*I145*J145</f>
        <v>0</v>
      </c>
      <c r="L145" s="6">
        <f t="shared" si="1"/>
        <v>216.57599999999999</v>
      </c>
      <c r="M145" s="1" t="s">
        <v>356</v>
      </c>
      <c r="N145" s="87" t="s">
        <v>112</v>
      </c>
    </row>
    <row r="146" spans="2:14">
      <c r="B146" s="17"/>
      <c r="G146" s="42" t="s">
        <v>12</v>
      </c>
      <c r="H146" s="3">
        <f>DASHBOARD!$D$37</f>
        <v>19.8</v>
      </c>
      <c r="I146" s="32">
        <v>12</v>
      </c>
      <c r="J146" s="1">
        <v>0.28999999999999998</v>
      </c>
      <c r="K146" s="1">
        <f t="shared" si="15"/>
        <v>0</v>
      </c>
      <c r="L146" s="6">
        <f t="shared" si="1"/>
        <v>68.903999999999996</v>
      </c>
      <c r="M146" s="1" t="s">
        <v>357</v>
      </c>
      <c r="N146" s="87" t="s">
        <v>113</v>
      </c>
    </row>
    <row r="147" spans="2:14">
      <c r="B147" s="17"/>
      <c r="G147" s="42" t="s">
        <v>353</v>
      </c>
      <c r="H147" s="3">
        <f>DASHBOARD!$D$54</f>
        <v>60</v>
      </c>
      <c r="I147" s="32">
        <v>12</v>
      </c>
      <c r="J147" s="1">
        <v>0.09</v>
      </c>
      <c r="K147" s="1">
        <f t="shared" si="15"/>
        <v>0</v>
      </c>
      <c r="L147" s="6">
        <f t="shared" si="1"/>
        <v>64.8</v>
      </c>
      <c r="M147" s="1" t="s">
        <v>358</v>
      </c>
      <c r="N147" s="87" t="s">
        <v>114</v>
      </c>
    </row>
    <row r="148" spans="2:14">
      <c r="B148" s="17"/>
      <c r="G148" s="42" t="s">
        <v>6</v>
      </c>
      <c r="H148" s="3">
        <f>DASHBOARD!$D$40</f>
        <v>24.276</v>
      </c>
      <c r="I148" s="32">
        <v>12</v>
      </c>
      <c r="J148" s="1">
        <v>0.56999999999999995</v>
      </c>
      <c r="K148" s="1">
        <f t="shared" si="15"/>
        <v>0</v>
      </c>
      <c r="L148" s="6">
        <f t="shared" si="1"/>
        <v>166.04783999999998</v>
      </c>
      <c r="M148" s="1" t="s">
        <v>359</v>
      </c>
      <c r="N148" s="87" t="s">
        <v>112</v>
      </c>
    </row>
    <row r="149" spans="2:14">
      <c r="B149" s="17"/>
      <c r="G149" s="42" t="s">
        <v>40</v>
      </c>
      <c r="H149" s="3">
        <f>DASHBOARD!$D$52</f>
        <v>48</v>
      </c>
      <c r="I149" s="32">
        <v>12</v>
      </c>
      <c r="J149" s="1">
        <v>0.06</v>
      </c>
      <c r="K149" s="1">
        <f t="shared" si="15"/>
        <v>0</v>
      </c>
      <c r="L149" s="6">
        <f t="shared" si="1"/>
        <v>34.56</v>
      </c>
      <c r="M149" s="1" t="s">
        <v>360</v>
      </c>
      <c r="N149" s="87" t="s">
        <v>112</v>
      </c>
    </row>
    <row r="150" spans="2:14">
      <c r="B150" s="17"/>
      <c r="G150" s="42" t="s">
        <v>325</v>
      </c>
      <c r="H150" s="3">
        <f>DASHBOARD!$D$43</f>
        <v>21.599999999999998</v>
      </c>
      <c r="I150" s="32">
        <v>12</v>
      </c>
      <c r="J150" s="1">
        <v>0.06</v>
      </c>
      <c r="K150" s="1">
        <f t="shared" si="15"/>
        <v>0</v>
      </c>
      <c r="L150" s="6"/>
      <c r="M150" s="1" t="s">
        <v>360</v>
      </c>
      <c r="N150" s="87"/>
    </row>
    <row r="151" spans="2:14">
      <c r="B151" s="17"/>
      <c r="G151" s="42" t="s">
        <v>230</v>
      </c>
      <c r="H151" s="3">
        <f>DASHBOARD!$D$55</f>
        <v>32.963999999999999</v>
      </c>
      <c r="I151" s="32">
        <v>12</v>
      </c>
      <c r="J151" s="1">
        <v>0.03</v>
      </c>
      <c r="K151" s="1">
        <f t="shared" si="15"/>
        <v>0</v>
      </c>
      <c r="L151" s="6"/>
      <c r="M151" s="1" t="s">
        <v>361</v>
      </c>
      <c r="N151" s="87"/>
    </row>
    <row r="152" spans="2:14">
      <c r="B152" s="17"/>
      <c r="G152" s="42" t="s">
        <v>180</v>
      </c>
      <c r="H152" s="3">
        <f>DASHBOARD!$D$53</f>
        <v>121.78799999999998</v>
      </c>
      <c r="I152" s="32">
        <v>12</v>
      </c>
      <c r="J152" s="1">
        <v>0.03</v>
      </c>
      <c r="K152" s="1">
        <f t="shared" si="15"/>
        <v>0</v>
      </c>
      <c r="L152" s="6"/>
      <c r="M152" s="1" t="s">
        <v>361</v>
      </c>
      <c r="N152" s="87"/>
    </row>
    <row r="153" spans="2:14">
      <c r="B153" s="17"/>
      <c r="G153" s="42" t="s">
        <v>449</v>
      </c>
      <c r="H153" s="3">
        <f>DASHBOARD!$D$46</f>
        <v>54.804000000000002</v>
      </c>
      <c r="I153" s="32">
        <v>12</v>
      </c>
      <c r="J153" s="1">
        <v>0.03</v>
      </c>
      <c r="K153" s="1">
        <f t="shared" si="15"/>
        <v>0</v>
      </c>
      <c r="L153" s="6"/>
      <c r="M153" s="1" t="s">
        <v>361</v>
      </c>
      <c r="N153" s="87"/>
    </row>
    <row r="154" spans="2:14">
      <c r="B154" s="17"/>
      <c r="G154" s="42" t="s">
        <v>354</v>
      </c>
      <c r="H154" s="3">
        <f>DASHBOARD!$D$48</f>
        <v>39.995999999999995</v>
      </c>
      <c r="I154" s="32">
        <v>12</v>
      </c>
      <c r="J154" s="1">
        <v>0.03</v>
      </c>
      <c r="K154" s="1">
        <f t="shared" si="15"/>
        <v>0</v>
      </c>
      <c r="L154" s="6"/>
      <c r="M154" s="1" t="s">
        <v>361</v>
      </c>
      <c r="N154" s="87"/>
    </row>
    <row r="155" spans="2:14">
      <c r="B155" s="17"/>
      <c r="G155" s="42" t="s">
        <v>27</v>
      </c>
      <c r="H155" s="3">
        <f>DASHBOARD!$D$39</f>
        <v>30</v>
      </c>
      <c r="I155" s="32">
        <v>12</v>
      </c>
      <c r="J155" s="1">
        <v>0.03</v>
      </c>
      <c r="K155" s="1">
        <f t="shared" si="15"/>
        <v>0</v>
      </c>
      <c r="L155" s="6">
        <f t="shared" si="1"/>
        <v>10.799999999999999</v>
      </c>
      <c r="M155" s="1" t="s">
        <v>361</v>
      </c>
      <c r="N155" s="87" t="s">
        <v>115</v>
      </c>
    </row>
    <row r="156" spans="2:14">
      <c r="B156" s="17"/>
      <c r="G156" s="5" t="s">
        <v>8</v>
      </c>
      <c r="H156" s="7">
        <f>DASHBOARD!D56</f>
        <v>0.16259999999999999</v>
      </c>
      <c r="I156" s="34">
        <v>1</v>
      </c>
      <c r="J156" s="11">
        <f>(4*J144/3)+(4*J145)</f>
        <v>2.74</v>
      </c>
      <c r="K156" s="11"/>
      <c r="L156" s="6">
        <f t="shared" si="1"/>
        <v>0.44552400000000003</v>
      </c>
      <c r="M156" s="1" t="s">
        <v>126</v>
      </c>
      <c r="N156" s="87" t="s">
        <v>116</v>
      </c>
    </row>
    <row r="157" spans="2:14">
      <c r="B157" s="17"/>
      <c r="G157" s="5" t="s">
        <v>41</v>
      </c>
      <c r="H157" s="7">
        <f>DASHBOARD!D57</f>
        <v>3.95</v>
      </c>
      <c r="I157" s="34">
        <v>1</v>
      </c>
      <c r="J157" s="11">
        <f>(4*J145)+(4*J155)+(4*J144/3*2)</f>
        <v>4</v>
      </c>
      <c r="K157" s="11"/>
      <c r="L157" s="6">
        <f t="shared" si="1"/>
        <v>15.8</v>
      </c>
      <c r="M157" s="1" t="s">
        <v>122</v>
      </c>
      <c r="N157" s="87" t="s">
        <v>117</v>
      </c>
    </row>
    <row r="158" spans="2:14">
      <c r="B158" s="17"/>
      <c r="G158" s="5" t="s">
        <v>9</v>
      </c>
      <c r="H158" s="7">
        <f>DASHBOARD!D58</f>
        <v>13.95</v>
      </c>
      <c r="I158" s="34">
        <v>1</v>
      </c>
      <c r="J158" s="11">
        <f>(4*J145)+(4*J155)+(4*J144/3*2)</f>
        <v>4</v>
      </c>
      <c r="K158" s="11"/>
      <c r="L158" s="6">
        <f t="shared" si="1"/>
        <v>55.8</v>
      </c>
      <c r="M158" s="1" t="s">
        <v>122</v>
      </c>
      <c r="N158" s="87" t="s">
        <v>118</v>
      </c>
    </row>
    <row r="159" spans="2:14" ht="18" customHeight="1">
      <c r="B159" s="17"/>
      <c r="G159" s="5" t="s">
        <v>16</v>
      </c>
      <c r="H159" s="7">
        <f>DASHBOARD!D59</f>
        <v>0.23960000000000001</v>
      </c>
      <c r="I159" s="34">
        <v>1</v>
      </c>
      <c r="J159" s="12">
        <f>(4*J144/3)+(4*J145)+(4*J155)+100+100</f>
        <v>202.86</v>
      </c>
      <c r="K159" s="12"/>
      <c r="L159" s="6">
        <f t="shared" si="1"/>
        <v>48.605256000000004</v>
      </c>
      <c r="M159" s="1" t="s">
        <v>127</v>
      </c>
      <c r="N159" s="87" t="s">
        <v>119</v>
      </c>
    </row>
    <row r="160" spans="2:14">
      <c r="B160" s="17"/>
      <c r="G160" s="5" t="s">
        <v>10</v>
      </c>
      <c r="H160" s="7">
        <f>DASHBOARD!D60</f>
        <v>1.7004999999999999</v>
      </c>
      <c r="I160" s="34">
        <v>1</v>
      </c>
      <c r="J160" s="12">
        <f>(4*J155)+100+100</f>
        <v>200.12</v>
      </c>
      <c r="K160" s="12"/>
      <c r="L160" s="6">
        <f t="shared" si="1"/>
        <v>340.30405999999999</v>
      </c>
      <c r="M160" s="1" t="s">
        <v>124</v>
      </c>
      <c r="N160" s="87" t="s">
        <v>119</v>
      </c>
    </row>
    <row r="161" spans="2:14">
      <c r="B161" s="17"/>
      <c r="G161" s="5" t="s">
        <v>144</v>
      </c>
      <c r="H161" s="7">
        <f>DASHBOARD!D61</f>
        <v>3.32</v>
      </c>
      <c r="I161" s="34">
        <v>1</v>
      </c>
      <c r="J161" s="5">
        <v>100</v>
      </c>
      <c r="K161" s="5"/>
      <c r="L161" s="6">
        <f t="shared" si="1"/>
        <v>332</v>
      </c>
      <c r="M161" s="1" t="s">
        <v>145</v>
      </c>
      <c r="N161" s="89" t="s">
        <v>147</v>
      </c>
    </row>
    <row r="162" spans="2:14">
      <c r="B162" s="17"/>
      <c r="G162" s="5" t="s">
        <v>11</v>
      </c>
      <c r="H162" s="7">
        <f>DASHBOARD!D62</f>
        <v>0.72</v>
      </c>
      <c r="I162" s="34">
        <v>1</v>
      </c>
      <c r="J162" s="5">
        <f>100</f>
        <v>100</v>
      </c>
      <c r="K162" s="5"/>
      <c r="L162" s="6">
        <f t="shared" si="1"/>
        <v>72</v>
      </c>
      <c r="M162" s="1" t="s">
        <v>146</v>
      </c>
      <c r="N162" s="89" t="s">
        <v>148</v>
      </c>
    </row>
    <row r="163" spans="2:14">
      <c r="B163" s="17"/>
      <c r="F163" s="119">
        <f>DASHBOARD!$D$110</f>
        <v>0</v>
      </c>
      <c r="G163" s="120"/>
      <c r="H163" s="121"/>
      <c r="I163" s="122"/>
      <c r="J163" s="120"/>
      <c r="K163" s="120"/>
      <c r="L163" s="123">
        <f>F163*H163*I163*J163</f>
        <v>0</v>
      </c>
      <c r="N163" s="89"/>
    </row>
    <row r="164" spans="2:14">
      <c r="B164" s="17"/>
      <c r="F164" s="124" t="s">
        <v>281</v>
      </c>
      <c r="G164" s="120"/>
      <c r="H164" s="121"/>
      <c r="I164" s="122"/>
      <c r="J164" s="120"/>
      <c r="K164" s="120"/>
      <c r="L164" s="123">
        <f>F163*H164*I164*J164</f>
        <v>0</v>
      </c>
      <c r="N164" s="89"/>
    </row>
    <row r="165" spans="2:14">
      <c r="B165" s="17"/>
      <c r="F165" s="119"/>
      <c r="G165" s="120"/>
      <c r="H165" s="121"/>
      <c r="I165" s="122"/>
      <c r="J165" s="120"/>
      <c r="K165" s="120"/>
      <c r="L165" s="123">
        <f>F163*H165*I165*J165</f>
        <v>0</v>
      </c>
      <c r="N165" s="89"/>
    </row>
    <row r="166" spans="2:14">
      <c r="B166" s="17"/>
      <c r="F166" s="119"/>
      <c r="G166" s="120"/>
      <c r="H166" s="121"/>
      <c r="I166" s="122"/>
      <c r="J166" s="120"/>
      <c r="K166" s="120"/>
      <c r="L166" s="123">
        <f>F163*H166*I166*J166</f>
        <v>0</v>
      </c>
      <c r="N166" s="89"/>
    </row>
    <row r="167" spans="2:14">
      <c r="B167" s="17"/>
      <c r="F167" s="154">
        <f>DASHBOARD!$D$112</f>
        <v>0</v>
      </c>
      <c r="G167" s="155" t="s">
        <v>381</v>
      </c>
      <c r="H167" s="156">
        <f>DASHBOARD!$D$42</f>
        <v>30</v>
      </c>
      <c r="I167" s="157">
        <v>8</v>
      </c>
      <c r="J167" s="155">
        <f>((DASHBOARD!$D$113*100)/480)*(8/7)</f>
        <v>1.1904761904761905</v>
      </c>
      <c r="K167" s="155">
        <f>$D$114*$F$144*$F$167*I167*J167</f>
        <v>0</v>
      </c>
      <c r="L167" s="158">
        <f>F167*H167*I167*J167</f>
        <v>0</v>
      </c>
      <c r="M167" s="1" t="s">
        <v>460</v>
      </c>
      <c r="N167" s="88" t="s">
        <v>387</v>
      </c>
    </row>
    <row r="168" spans="2:14">
      <c r="B168" s="17"/>
      <c r="F168" s="159" t="s">
        <v>281</v>
      </c>
      <c r="G168" s="155" t="s">
        <v>382</v>
      </c>
      <c r="H168" s="156">
        <f>DASHBOARD!$D$59</f>
        <v>0.23960000000000001</v>
      </c>
      <c r="I168" s="157">
        <v>1</v>
      </c>
      <c r="J168" s="155">
        <v>100</v>
      </c>
      <c r="K168" s="155">
        <f t="shared" ref="K168:K173" si="16">$D$114*$F$144*$F$167*I168*J168</f>
        <v>0</v>
      </c>
      <c r="L168" s="158">
        <f>F167*H168*I168*J168</f>
        <v>0</v>
      </c>
      <c r="M168" s="1" t="s">
        <v>388</v>
      </c>
      <c r="N168" s="88"/>
    </row>
    <row r="169" spans="2:14">
      <c r="B169" s="17"/>
      <c r="F169" s="159" t="s">
        <v>380</v>
      </c>
      <c r="G169" s="155" t="s">
        <v>383</v>
      </c>
      <c r="H169" s="156">
        <f>DASHBOARD!$D$60</f>
        <v>1.7004999999999999</v>
      </c>
      <c r="I169" s="157">
        <v>1</v>
      </c>
      <c r="J169" s="155">
        <v>100</v>
      </c>
      <c r="K169" s="155">
        <f t="shared" si="16"/>
        <v>0</v>
      </c>
      <c r="L169" s="158">
        <f>F167*H169*I169*J169</f>
        <v>0</v>
      </c>
      <c r="M169" s="1" t="s">
        <v>388</v>
      </c>
      <c r="N169" s="88"/>
    </row>
    <row r="170" spans="2:14">
      <c r="B170" s="17"/>
      <c r="F170" s="154"/>
      <c r="G170" s="155" t="s">
        <v>41</v>
      </c>
      <c r="H170" s="156">
        <f>DASHBOARD!$D$57</f>
        <v>3.95</v>
      </c>
      <c r="I170" s="157">
        <v>1</v>
      </c>
      <c r="J170" s="155">
        <f>I167*J167/2</f>
        <v>4.7619047619047619</v>
      </c>
      <c r="K170" s="155">
        <f t="shared" si="16"/>
        <v>0</v>
      </c>
      <c r="L170" s="158">
        <f>F167*H170*I170*J170</f>
        <v>0</v>
      </c>
      <c r="M170" s="1" t="s">
        <v>385</v>
      </c>
      <c r="N170" s="88"/>
    </row>
    <row r="171" spans="2:14">
      <c r="B171" s="17"/>
      <c r="F171" s="154"/>
      <c r="G171" s="155" t="s">
        <v>384</v>
      </c>
      <c r="H171" s="156">
        <f>DASHBOARD!$D$58</f>
        <v>13.95</v>
      </c>
      <c r="I171" s="157">
        <v>1</v>
      </c>
      <c r="J171" s="155">
        <f>I167*J167/2</f>
        <v>4.7619047619047619</v>
      </c>
      <c r="K171" s="155">
        <f t="shared" si="16"/>
        <v>0</v>
      </c>
      <c r="L171" s="158">
        <f>F167*H171*I171*J171</f>
        <v>0</v>
      </c>
      <c r="M171" s="1" t="s">
        <v>385</v>
      </c>
      <c r="N171" s="88"/>
    </row>
    <row r="172" spans="2:14">
      <c r="B172" s="17"/>
      <c r="F172" s="154"/>
      <c r="G172" s="155" t="s">
        <v>389</v>
      </c>
      <c r="H172" s="156">
        <f>DASHBOARD!$D$71</f>
        <v>2.2799999999999998</v>
      </c>
      <c r="I172" s="157">
        <v>1</v>
      </c>
      <c r="J172" s="155">
        <v>100</v>
      </c>
      <c r="K172" s="155">
        <f t="shared" si="16"/>
        <v>0</v>
      </c>
      <c r="L172" s="158">
        <f>F167*H172*I172*J172</f>
        <v>0</v>
      </c>
      <c r="M172" s="1" t="s">
        <v>390</v>
      </c>
      <c r="N172" s="88" t="s">
        <v>391</v>
      </c>
    </row>
    <row r="173" spans="2:14">
      <c r="B173" s="17"/>
      <c r="F173" s="154"/>
      <c r="G173" s="155" t="s">
        <v>392</v>
      </c>
      <c r="H173" s="156">
        <f>DASHBOARD!$D$72</f>
        <v>0.39</v>
      </c>
      <c r="I173" s="157">
        <v>1</v>
      </c>
      <c r="J173" s="155">
        <v>100</v>
      </c>
      <c r="K173" s="155">
        <f t="shared" si="16"/>
        <v>0</v>
      </c>
      <c r="L173" s="158">
        <f>F167*H173*I173*J173</f>
        <v>0</v>
      </c>
      <c r="M173" s="1" t="s">
        <v>393</v>
      </c>
      <c r="N173" s="88" t="s">
        <v>394</v>
      </c>
    </row>
    <row r="174" spans="2:14" ht="20.100000000000001" customHeight="1" thickBot="1">
      <c r="B174" s="9" t="s">
        <v>7</v>
      </c>
      <c r="C174" s="10"/>
      <c r="D174" s="14"/>
      <c r="E174" s="20"/>
      <c r="F174" s="14"/>
      <c r="G174" s="10"/>
      <c r="H174" s="549" t="s">
        <v>81</v>
      </c>
      <c r="I174" s="549"/>
      <c r="J174" s="549"/>
      <c r="K174" s="242"/>
      <c r="L174" s="70">
        <f>((C16*D16*F64*F65*SUM(L64:L88))+(C16*D16*F64*F89*SUM(L89:L113))+(C16*D16*F16*F17*SUM(L16:L39))+(C16*D16*F16*F40*SUM(L40:L63))+(C16*D114*F114*SUM(L114:L143))+(C16*D114*F144*SUM(L144:L173)))/100/C16*100</f>
        <v>2489.2551120000003</v>
      </c>
      <c r="M174" s="69" t="str">
        <f>"Per Person Cost is "&amp;ROUND(L174/100,2)&amp;" and the cost per "&amp;$C$4&amp;" people is "&amp;ROUND(L174/100*$C$4,2)</f>
        <v>Per Person Cost is 24.89 and the cost per 1907 people is 47470.09</v>
      </c>
    </row>
    <row r="175" spans="2:14" ht="21" customHeight="1">
      <c r="B175" s="22" t="s">
        <v>18</v>
      </c>
      <c r="C175" s="26">
        <f>C4</f>
        <v>1907</v>
      </c>
      <c r="D175" s="92">
        <f>DASHBOARD!D125*DASHBOARD!$D$139</f>
        <v>1</v>
      </c>
      <c r="E175" s="21">
        <v>1</v>
      </c>
      <c r="F175" s="2">
        <v>1</v>
      </c>
      <c r="G175" s="42" t="s">
        <v>21</v>
      </c>
      <c r="H175" s="3">
        <f>DASHBOARD!D41</f>
        <v>26.004000000000001</v>
      </c>
      <c r="I175" s="32">
        <f>C5*F176*((DASHBOARD!D149+((ROUNDUP((C175*D175)/(C5*F176)/50,0))*DASHBOARD!$D$132))/60)*(8/7)</f>
        <v>121.21904761904763</v>
      </c>
      <c r="J175" s="11">
        <f>IF(D175=0,0,1/(C175*D175/100))</f>
        <v>5.2438384897745147E-2</v>
      </c>
      <c r="K175" s="11">
        <f>D175*I175*J175</f>
        <v>6.3565310759857168</v>
      </c>
      <c r="L175" s="4">
        <f>D$175*H175*I175*J175</f>
        <v>165.2952340999326</v>
      </c>
      <c r="M175" s="1" t="s">
        <v>167</v>
      </c>
      <c r="N175" s="87" t="s">
        <v>128</v>
      </c>
    </row>
    <row r="176" spans="2:14" ht="36" customHeight="1">
      <c r="B176" s="22"/>
      <c r="E176" s="21" t="s">
        <v>154</v>
      </c>
      <c r="F176" s="2">
        <v>2</v>
      </c>
      <c r="G176" s="1" t="s">
        <v>22</v>
      </c>
      <c r="H176" s="3">
        <f>DASHBOARD!D64</f>
        <v>7.242172727E-2</v>
      </c>
      <c r="I176" s="32">
        <v>1</v>
      </c>
      <c r="J176" s="11">
        <f>C5*32.8*F176*J175</f>
        <v>295.83639223911899</v>
      </c>
      <c r="K176" s="11"/>
      <c r="L176" s="4">
        <f t="shared" ref="L176:L179" si="17">D$175*H176*I176*J176</f>
        <v>21.42498251528222</v>
      </c>
      <c r="M176" s="1" t="s">
        <v>168</v>
      </c>
      <c r="N176" s="87" t="s">
        <v>129</v>
      </c>
    </row>
    <row r="177" spans="2:14" ht="30.75" customHeight="1">
      <c r="B177" s="22"/>
      <c r="G177" s="1" t="s">
        <v>158</v>
      </c>
      <c r="H177" s="3">
        <f>DASHBOARD!D65</f>
        <v>42.91</v>
      </c>
      <c r="I177" s="32">
        <f>I175/8</f>
        <v>15.152380952380954</v>
      </c>
      <c r="J177" s="11">
        <f>IF(D175=0,0,1/(C175*D175/100))</f>
        <v>5.2438384897745147E-2</v>
      </c>
      <c r="K177" s="11"/>
      <c r="L177" s="4">
        <f t="shared" si="17"/>
        <v>34.09484355881839</v>
      </c>
      <c r="M177" s="1" t="s">
        <v>160</v>
      </c>
      <c r="N177" s="87"/>
    </row>
    <row r="178" spans="2:14">
      <c r="B178" s="22"/>
      <c r="G178" s="1" t="s">
        <v>23</v>
      </c>
      <c r="H178" s="3">
        <f>DASHBOARD!D66</f>
        <v>0.18703</v>
      </c>
      <c r="I178" s="26">
        <v>1</v>
      </c>
      <c r="J178" s="55">
        <v>100</v>
      </c>
      <c r="K178" s="55"/>
      <c r="L178" s="4">
        <f t="shared" si="17"/>
        <v>18.702999999999999</v>
      </c>
      <c r="N178" s="87" t="s">
        <v>132</v>
      </c>
    </row>
    <row r="179" spans="2:14">
      <c r="B179" s="22"/>
      <c r="G179" s="1" t="s">
        <v>24</v>
      </c>
      <c r="H179" s="3">
        <f>DASHBOARD!D67</f>
        <v>1.274775</v>
      </c>
      <c r="I179" s="12">
        <v>1</v>
      </c>
      <c r="J179" s="55">
        <v>2</v>
      </c>
      <c r="K179" s="55"/>
      <c r="L179" s="4">
        <f t="shared" si="17"/>
        <v>2.54955</v>
      </c>
      <c r="M179" s="1" t="s">
        <v>47</v>
      </c>
      <c r="N179" s="88" t="s">
        <v>131</v>
      </c>
    </row>
    <row r="180" spans="2:14" ht="18" customHeight="1">
      <c r="B180" s="22"/>
      <c r="F180" s="134">
        <f>IF(OR(DASHBOARD!$D$111,DASHBOARD!$D$112=1),1,0)</f>
        <v>0</v>
      </c>
      <c r="G180" s="24" t="s">
        <v>418</v>
      </c>
      <c r="H180" s="165">
        <f>DASHBOARD!$D$66</f>
        <v>0.18703</v>
      </c>
      <c r="I180" s="166">
        <v>1</v>
      </c>
      <c r="J180" s="167">
        <v>100</v>
      </c>
      <c r="K180" s="167"/>
      <c r="L180" s="168">
        <f>F180*H180*I180*J180</f>
        <v>0</v>
      </c>
      <c r="N180" s="87" t="s">
        <v>132</v>
      </c>
    </row>
    <row r="181" spans="2:14" ht="18" customHeight="1">
      <c r="B181" s="22"/>
      <c r="F181" s="135" t="s">
        <v>281</v>
      </c>
      <c r="G181" s="24" t="s">
        <v>419</v>
      </c>
      <c r="H181" s="165">
        <f>DASHBOARD!$D$67</f>
        <v>1.274775</v>
      </c>
      <c r="I181" s="169">
        <v>1</v>
      </c>
      <c r="J181" s="167">
        <v>2</v>
      </c>
      <c r="K181" s="167"/>
      <c r="L181" s="168">
        <f>F180*H181*I181*J181</f>
        <v>0</v>
      </c>
      <c r="M181" s="1" t="s">
        <v>47</v>
      </c>
      <c r="N181" s="88" t="s">
        <v>131</v>
      </c>
    </row>
    <row r="182" spans="2:14" ht="18" customHeight="1">
      <c r="B182" s="22"/>
      <c r="D182" s="92">
        <v>0</v>
      </c>
      <c r="E182" s="21">
        <v>2</v>
      </c>
      <c r="F182" s="2">
        <v>1</v>
      </c>
      <c r="G182" s="42" t="s">
        <v>21</v>
      </c>
      <c r="H182" s="3">
        <f>DASHBOARD!D41</f>
        <v>26.004000000000001</v>
      </c>
      <c r="I182" s="32">
        <f>IF(C6=0,0,C6*F183*((DASHBOARD!D149+((ROUNDUP((C175*D182)/(C6*F183)/50,0))*DASHBOARD!$D$132))/60))</f>
        <v>0</v>
      </c>
      <c r="J182" s="55">
        <f>IF(D182=0, 0, 1/(C175*D182/100))</f>
        <v>0</v>
      </c>
      <c r="K182" s="55">
        <f>D182*I182*J182</f>
        <v>0</v>
      </c>
      <c r="L182" s="4">
        <f>H182*I182*J182</f>
        <v>0</v>
      </c>
      <c r="M182" s="1" t="s">
        <v>169</v>
      </c>
      <c r="N182" s="87" t="s">
        <v>128</v>
      </c>
    </row>
    <row r="183" spans="2:14" ht="38.1" customHeight="1">
      <c r="B183" s="22"/>
      <c r="E183" s="21" t="s">
        <v>154</v>
      </c>
      <c r="F183" s="2">
        <v>4</v>
      </c>
      <c r="G183" s="1" t="s">
        <v>22</v>
      </c>
      <c r="H183" s="3">
        <f>DASHBOARD!D64</f>
        <v>7.242172727E-2</v>
      </c>
      <c r="I183" s="32">
        <v>1</v>
      </c>
      <c r="J183" s="55">
        <f>C6*32.8*F183*J182</f>
        <v>0</v>
      </c>
      <c r="K183" s="55"/>
      <c r="L183" s="4">
        <f t="shared" ref="L183:L186" si="18">H183*I183*J183</f>
        <v>0</v>
      </c>
      <c r="M183" s="1" t="s">
        <v>170</v>
      </c>
      <c r="N183" s="87" t="s">
        <v>129</v>
      </c>
    </row>
    <row r="184" spans="2:14" ht="17.100000000000001" customHeight="1">
      <c r="B184" s="22"/>
      <c r="G184" s="1" t="s">
        <v>158</v>
      </c>
      <c r="H184" s="3">
        <f>DASHBOARD!D65</f>
        <v>42.91</v>
      </c>
      <c r="I184" s="32">
        <f>I182/8</f>
        <v>0</v>
      </c>
      <c r="J184" s="55">
        <f>IF(D182=0, 0, 1/(C175*D182/100))</f>
        <v>0</v>
      </c>
      <c r="K184" s="55"/>
      <c r="L184" s="4">
        <f>H184*I184*J184</f>
        <v>0</v>
      </c>
      <c r="M184" s="1" t="s">
        <v>160</v>
      </c>
      <c r="N184" s="87"/>
    </row>
    <row r="185" spans="2:14">
      <c r="B185" s="22"/>
      <c r="G185" s="1" t="s">
        <v>23</v>
      </c>
      <c r="H185" s="3">
        <f>DASHBOARD!D66</f>
        <v>0.18703</v>
      </c>
      <c r="I185" s="32">
        <v>1</v>
      </c>
      <c r="J185" s="55">
        <v>100</v>
      </c>
      <c r="K185" s="55"/>
      <c r="L185" s="4">
        <f t="shared" si="18"/>
        <v>18.702999999999999</v>
      </c>
      <c r="N185" s="87" t="s">
        <v>132</v>
      </c>
    </row>
    <row r="186" spans="2:14">
      <c r="B186" s="22"/>
      <c r="G186" s="1" t="s">
        <v>24</v>
      </c>
      <c r="H186" s="3">
        <f>DASHBOARD!D67</f>
        <v>1.274775</v>
      </c>
      <c r="I186" s="32">
        <v>1</v>
      </c>
      <c r="J186" s="11">
        <v>2</v>
      </c>
      <c r="K186" s="11"/>
      <c r="L186" s="4">
        <f t="shared" si="18"/>
        <v>2.54955</v>
      </c>
      <c r="M186" s="1" t="s">
        <v>47</v>
      </c>
      <c r="N186" s="88" t="s">
        <v>131</v>
      </c>
    </row>
    <row r="187" spans="2:14" ht="18" customHeight="1">
      <c r="B187" s="22"/>
      <c r="F187" s="134">
        <f>IF(OR(DASHBOARD!$D$111,DASHBOARD!$D$112=1),1,0)</f>
        <v>0</v>
      </c>
      <c r="G187" s="24" t="s">
        <v>418</v>
      </c>
      <c r="H187" s="165">
        <f>DASHBOARD!$D$66</f>
        <v>0.18703</v>
      </c>
      <c r="I187" s="166">
        <v>1</v>
      </c>
      <c r="J187" s="167">
        <v>100</v>
      </c>
      <c r="K187" s="167"/>
      <c r="L187" s="168">
        <f>F187*H187*I187*J187</f>
        <v>0</v>
      </c>
      <c r="N187" s="87" t="s">
        <v>132</v>
      </c>
    </row>
    <row r="188" spans="2:14" ht="18" customHeight="1">
      <c r="B188" s="22"/>
      <c r="F188" s="135" t="s">
        <v>281</v>
      </c>
      <c r="G188" s="24" t="s">
        <v>419</v>
      </c>
      <c r="H188" s="165">
        <f>DASHBOARD!$D$67</f>
        <v>1.274775</v>
      </c>
      <c r="I188" s="169">
        <v>1</v>
      </c>
      <c r="J188" s="167">
        <v>2</v>
      </c>
      <c r="K188" s="167"/>
      <c r="L188" s="168">
        <f>F187*H188*I188*J188</f>
        <v>0</v>
      </c>
      <c r="M188" s="1" t="s">
        <v>47</v>
      </c>
      <c r="N188" s="88" t="s">
        <v>131</v>
      </c>
    </row>
    <row r="189" spans="2:14" ht="21" customHeight="1" thickBot="1">
      <c r="B189" s="9" t="s">
        <v>7</v>
      </c>
      <c r="C189" s="10"/>
      <c r="D189" s="14"/>
      <c r="E189" s="20"/>
      <c r="F189" s="14"/>
      <c r="G189" s="10"/>
      <c r="H189" s="549" t="s">
        <v>81</v>
      </c>
      <c r="I189" s="549"/>
      <c r="J189" s="549"/>
      <c r="K189" s="242"/>
      <c r="L189" s="70">
        <f>((SUM(L175:L181))+(SUM(L182:L188)))</f>
        <v>263.32016017403322</v>
      </c>
      <c r="M189" s="69" t="str">
        <f>"Per Person Cost is "&amp;ROUND(L189/100,2)&amp;" and the cost per "&amp;$C$4&amp;" people is "&amp;ROUND(L189/100*$C$4,2)</f>
        <v>Per Person Cost is 2.63 and the cost per 1907 people is 5021.52</v>
      </c>
    </row>
    <row r="190" spans="2:14" ht="21" customHeight="1">
      <c r="B190" s="23" t="s">
        <v>25</v>
      </c>
      <c r="C190" s="26">
        <f>C4</f>
        <v>1907</v>
      </c>
      <c r="D190" s="134">
        <f>(1-DASHBOARD!$D$135)*DASHBOARD!$D$139</f>
        <v>1</v>
      </c>
      <c r="E190" s="21" t="s">
        <v>337</v>
      </c>
      <c r="F190" s="2">
        <f>1-C7</f>
        <v>0.98909453153672733</v>
      </c>
      <c r="G190" s="42" t="s">
        <v>14</v>
      </c>
      <c r="H190" s="51">
        <f>DASHBOARD!D35</f>
        <v>24.612000000000002</v>
      </c>
      <c r="I190" s="52">
        <f>DASHBOARD!D150*(100/60)*(8/7)</f>
        <v>7.6190476190476186</v>
      </c>
      <c r="J190" s="53">
        <v>1</v>
      </c>
      <c r="K190" s="53">
        <f>D190*F190*I190*J190</f>
        <v>7.5359583355179218</v>
      </c>
      <c r="L190" s="54">
        <f>H190*I190*J190</f>
        <v>187.52</v>
      </c>
      <c r="M190" s="1" t="s">
        <v>50</v>
      </c>
      <c r="N190" s="87" t="s">
        <v>133</v>
      </c>
    </row>
    <row r="191" spans="2:14">
      <c r="B191" s="23"/>
      <c r="D191" s="135" t="s">
        <v>329</v>
      </c>
      <c r="G191" s="42" t="s">
        <v>31</v>
      </c>
      <c r="H191" s="51">
        <f>DASHBOARD!D44</f>
        <v>48</v>
      </c>
      <c r="I191" s="55">
        <f>SUM(I195:I197)*(1/100)</f>
        <v>0.11955420466058762</v>
      </c>
      <c r="J191" s="53">
        <v>1</v>
      </c>
      <c r="K191" s="53">
        <f>D190*F190*I191*J191</f>
        <v>0.11825041005200994</v>
      </c>
      <c r="L191" s="54">
        <f t="shared" ref="L191:L217" si="19">H191*I191*J191</f>
        <v>5.7386018237082057</v>
      </c>
      <c r="M191" s="1" t="s">
        <v>136</v>
      </c>
      <c r="N191" s="87" t="s">
        <v>115</v>
      </c>
    </row>
    <row r="192" spans="2:14">
      <c r="B192" s="23" t="s">
        <v>348</v>
      </c>
      <c r="D192" s="134"/>
      <c r="G192" s="42" t="s">
        <v>32</v>
      </c>
      <c r="H192" s="51">
        <f>DASHBOARD!D49</f>
        <v>58.847999999999999</v>
      </c>
      <c r="I192" s="55">
        <f>SUM(I195:I197)*(1/10)</f>
        <v>1.1955420466058762</v>
      </c>
      <c r="J192" s="53">
        <v>1</v>
      </c>
      <c r="K192" s="53">
        <f>D190*F190*I192*J192</f>
        <v>1.1825041005200994</v>
      </c>
      <c r="L192" s="54">
        <f t="shared" si="19"/>
        <v>70.355258358662596</v>
      </c>
      <c r="M192" s="1" t="s">
        <v>137</v>
      </c>
      <c r="N192" s="87" t="s">
        <v>134</v>
      </c>
    </row>
    <row r="193" spans="2:14">
      <c r="B193" s="23" t="s">
        <v>349</v>
      </c>
      <c r="D193" s="134"/>
      <c r="G193" s="42" t="s">
        <v>33</v>
      </c>
      <c r="H193" s="51">
        <f>DASHBOARD!D50</f>
        <v>39</v>
      </c>
      <c r="I193" s="55">
        <f>SUM(I195:I197)*(1/33)</f>
        <v>0.36228546866844735</v>
      </c>
      <c r="J193" s="53">
        <v>1</v>
      </c>
      <c r="K193" s="53">
        <f>D190*F190*I193*J193</f>
        <v>0.35833457591518164</v>
      </c>
      <c r="L193" s="54">
        <f t="shared" si="19"/>
        <v>14.129133278069446</v>
      </c>
      <c r="M193" s="1" t="s">
        <v>138</v>
      </c>
      <c r="N193" s="87" t="s">
        <v>115</v>
      </c>
    </row>
    <row r="194" spans="2:14">
      <c r="B194" s="23" t="s">
        <v>350</v>
      </c>
      <c r="D194" s="134"/>
      <c r="G194" s="42" t="s">
        <v>34</v>
      </c>
      <c r="H194" s="51">
        <f>DASHBOARD!D51</f>
        <v>43.199999999999996</v>
      </c>
      <c r="I194" s="52">
        <f>SUM(I195:I197)*(1/100)</f>
        <v>0.11955420466058762</v>
      </c>
      <c r="J194" s="53">
        <v>1</v>
      </c>
      <c r="K194" s="53">
        <f>D190*F190*I194*J194</f>
        <v>0.11825041005200994</v>
      </c>
      <c r="L194" s="54">
        <f t="shared" si="19"/>
        <v>5.1647416413373852</v>
      </c>
      <c r="M194" s="1" t="s">
        <v>136</v>
      </c>
      <c r="N194" s="87" t="s">
        <v>135</v>
      </c>
    </row>
    <row r="195" spans="2:14">
      <c r="B195" s="23"/>
      <c r="D195" s="134"/>
      <c r="F195" s="2" t="s">
        <v>451</v>
      </c>
      <c r="G195" s="42" t="s">
        <v>27</v>
      </c>
      <c r="H195" s="51">
        <f>DASHBOARD!D39</f>
        <v>30</v>
      </c>
      <c r="I195" s="52">
        <f>(DASHBOARD!$D$151*100/60)*(8/7)</f>
        <v>5.7142857142857135</v>
      </c>
      <c r="J195" s="53">
        <v>1</v>
      </c>
      <c r="K195" s="53">
        <f>D190*F190*I195*J195</f>
        <v>5.6519687516384414</v>
      </c>
      <c r="L195" s="54">
        <f t="shared" si="19"/>
        <v>171.42857142857142</v>
      </c>
      <c r="M195" s="1" t="s">
        <v>48</v>
      </c>
      <c r="N195" s="87" t="s">
        <v>115</v>
      </c>
    </row>
    <row r="196" spans="2:14" ht="15" customHeight="1">
      <c r="B196" s="23"/>
      <c r="D196" s="134"/>
      <c r="F196" s="2" t="s">
        <v>452</v>
      </c>
      <c r="G196" s="42" t="s">
        <v>27</v>
      </c>
      <c r="H196" s="51">
        <f>DASHBOARD!D39</f>
        <v>30</v>
      </c>
      <c r="I196" s="52">
        <f>(DASHBOARD!$D$152*100/60)*(8/7)</f>
        <v>2.43161094224924</v>
      </c>
      <c r="J196" s="53">
        <v>1</v>
      </c>
      <c r="K196" s="53">
        <f>D190*F190*I196*J196</f>
        <v>2.4050930858035922</v>
      </c>
      <c r="L196" s="54">
        <f t="shared" si="19"/>
        <v>72.948328267477194</v>
      </c>
      <c r="M196" s="1" t="s">
        <v>314</v>
      </c>
      <c r="N196" s="87" t="s">
        <v>115</v>
      </c>
    </row>
    <row r="197" spans="2:14" ht="31.5">
      <c r="B197" s="23"/>
      <c r="D197" s="134"/>
      <c r="F197" s="2" t="s">
        <v>453</v>
      </c>
      <c r="G197" s="66" t="s">
        <v>27</v>
      </c>
      <c r="H197" s="51">
        <f>DASHBOARD!D39</f>
        <v>30</v>
      </c>
      <c r="I197" s="52">
        <f>(DASHBOARD!D154*100)/60*(8/7)</f>
        <v>3.8095238095238093</v>
      </c>
      <c r="J197" s="53">
        <v>1</v>
      </c>
      <c r="K197" s="53">
        <f>D190*F190*I197*J197</f>
        <v>3.7679791677589609</v>
      </c>
      <c r="L197" s="54">
        <f t="shared" si="19"/>
        <v>114.28571428571428</v>
      </c>
      <c r="M197" s="27" t="s">
        <v>77</v>
      </c>
      <c r="N197" s="87" t="s">
        <v>115</v>
      </c>
    </row>
    <row r="198" spans="2:14">
      <c r="B198" s="23"/>
      <c r="D198" s="134"/>
      <c r="G198" s="5" t="s">
        <v>41</v>
      </c>
      <c r="H198" s="56">
        <f>DASHBOARD!D57</f>
        <v>3.95</v>
      </c>
      <c r="I198" s="52">
        <v>1</v>
      </c>
      <c r="J198" s="53">
        <f>2*SUM(I195:I197)/8</f>
        <v>2.9888551165146904</v>
      </c>
      <c r="K198" s="53"/>
      <c r="L198" s="54">
        <f t="shared" si="19"/>
        <v>11.805977710233028</v>
      </c>
      <c r="M198" s="1" t="s">
        <v>139</v>
      </c>
      <c r="N198" s="87" t="s">
        <v>117</v>
      </c>
    </row>
    <row r="199" spans="2:14">
      <c r="B199" s="23"/>
      <c r="D199" s="134"/>
      <c r="G199" s="5" t="s">
        <v>9</v>
      </c>
      <c r="H199" s="56">
        <f>DASHBOARD!D58</f>
        <v>13.95</v>
      </c>
      <c r="I199" s="52">
        <v>1</v>
      </c>
      <c r="J199" s="53">
        <f>2*SUM(I195:I197)/8</f>
        <v>2.9888551165146904</v>
      </c>
      <c r="K199" s="53"/>
      <c r="L199" s="54">
        <f t="shared" si="19"/>
        <v>41.69452887537993</v>
      </c>
      <c r="M199" s="1" t="s">
        <v>139</v>
      </c>
      <c r="N199" s="87" t="s">
        <v>118</v>
      </c>
    </row>
    <row r="200" spans="2:14">
      <c r="B200" s="23"/>
      <c r="D200" s="134"/>
      <c r="G200" s="5" t="s">
        <v>16</v>
      </c>
      <c r="H200" s="56">
        <f>DASHBOARD!D59</f>
        <v>0.23960000000000001</v>
      </c>
      <c r="I200" s="52">
        <v>1</v>
      </c>
      <c r="J200" s="53">
        <f>ROUNDUP(I190/8,0)+(ROUNDUP(I195/8,0)+ROUNDUP(I196/8,0)+ROUNDUP(I197/8,0))*(100/DASHBOARD!$D$121)</f>
        <v>7.3829787234042552</v>
      </c>
      <c r="K200" s="53"/>
      <c r="L200" s="54">
        <f t="shared" si="19"/>
        <v>1.7689617021276596</v>
      </c>
      <c r="M200" s="1" t="s">
        <v>140</v>
      </c>
      <c r="N200" s="87" t="s">
        <v>119</v>
      </c>
    </row>
    <row r="201" spans="2:14">
      <c r="B201" s="23"/>
      <c r="D201" s="134"/>
      <c r="G201" s="5" t="s">
        <v>10</v>
      </c>
      <c r="H201" s="56">
        <f>DASHBOARD!D60</f>
        <v>1.7004999999999999</v>
      </c>
      <c r="I201" s="53">
        <v>1</v>
      </c>
      <c r="J201" s="53">
        <f>2*SUM(I195:I197)/8</f>
        <v>2.9888551165146904</v>
      </c>
      <c r="K201" s="53"/>
      <c r="L201" s="54">
        <f t="shared" si="19"/>
        <v>5.082548125633231</v>
      </c>
      <c r="M201" s="1" t="s">
        <v>139</v>
      </c>
      <c r="N201" s="87" t="s">
        <v>119</v>
      </c>
    </row>
    <row r="202" spans="2:14">
      <c r="B202" s="23"/>
      <c r="D202" s="134"/>
      <c r="G202" s="1" t="s">
        <v>28</v>
      </c>
      <c r="H202" s="51">
        <f>DASHBOARD!D75</f>
        <v>12.16</v>
      </c>
      <c r="I202" s="52">
        <v>1</v>
      </c>
      <c r="J202" s="53">
        <v>100</v>
      </c>
      <c r="K202" s="53"/>
      <c r="L202" s="54">
        <f t="shared" si="19"/>
        <v>1216</v>
      </c>
      <c r="N202" s="87" t="s">
        <v>141</v>
      </c>
    </row>
    <row r="203" spans="2:14">
      <c r="B203" s="23"/>
      <c r="D203" s="134"/>
      <c r="G203" s="1" t="s">
        <v>29</v>
      </c>
      <c r="H203" s="51">
        <f>DASHBOARD!D76</f>
        <v>0.72</v>
      </c>
      <c r="I203" s="52">
        <v>1</v>
      </c>
      <c r="J203" s="53">
        <v>100</v>
      </c>
      <c r="K203" s="53"/>
      <c r="L203" s="54">
        <f t="shared" si="19"/>
        <v>72</v>
      </c>
      <c r="N203" s="87" t="s">
        <v>142</v>
      </c>
    </row>
    <row r="204" spans="2:14">
      <c r="B204" s="23"/>
      <c r="D204" s="134"/>
      <c r="F204" s="2">
        <f>C7</f>
        <v>1.0905468463272689E-2</v>
      </c>
      <c r="G204" s="42" t="s">
        <v>14</v>
      </c>
      <c r="H204" s="51">
        <f>DASHBOARD!D35</f>
        <v>24.612000000000002</v>
      </c>
      <c r="I204" s="52">
        <f>DASHBOARD!D150*(100/60)*(8/7)</f>
        <v>7.6190476190476186</v>
      </c>
      <c r="J204" s="53">
        <v>1</v>
      </c>
      <c r="K204" s="53">
        <f>D190*F204*I204*J204</f>
        <v>8.3089283529696675E-2</v>
      </c>
      <c r="L204" s="54">
        <f>H204*I204*J204</f>
        <v>187.52</v>
      </c>
      <c r="M204" s="1" t="s">
        <v>50</v>
      </c>
      <c r="N204" s="87" t="s">
        <v>133</v>
      </c>
    </row>
    <row r="205" spans="2:14">
      <c r="B205" s="23"/>
      <c r="D205" s="134"/>
      <c r="G205" s="42" t="s">
        <v>31</v>
      </c>
      <c r="H205" s="51">
        <f>DASHBOARD!D44</f>
        <v>48</v>
      </c>
      <c r="I205" s="55">
        <f>SUM(I209:I211)*(1/100)</f>
        <v>0.17669706180344477</v>
      </c>
      <c r="J205" s="53">
        <v>1</v>
      </c>
      <c r="K205" s="53">
        <f>D190*F204*I205*J205</f>
        <v>1.9269642350504123E-3</v>
      </c>
      <c r="L205" s="54">
        <f t="shared" ref="L205:L216" si="20">H205*I205*J205</f>
        <v>8.4814589665653486</v>
      </c>
      <c r="M205" s="1" t="s">
        <v>136</v>
      </c>
      <c r="N205" s="87" t="s">
        <v>115</v>
      </c>
    </row>
    <row r="206" spans="2:14">
      <c r="B206" s="23"/>
      <c r="D206" s="134"/>
      <c r="G206" s="42" t="s">
        <v>32</v>
      </c>
      <c r="H206" s="51">
        <f>DASHBOARD!D49</f>
        <v>58.847999999999999</v>
      </c>
      <c r="I206" s="55">
        <f>SUM(I209:I211)*(1/10)</f>
        <v>1.7669706180344478</v>
      </c>
      <c r="J206" s="53">
        <v>1</v>
      </c>
      <c r="K206" s="53">
        <f>D190*F204*I206*J206</f>
        <v>1.9269642350504122E-2</v>
      </c>
      <c r="L206" s="54">
        <f t="shared" si="20"/>
        <v>103.98268693009118</v>
      </c>
      <c r="M206" s="1" t="s">
        <v>137</v>
      </c>
      <c r="N206" s="87" t="s">
        <v>134</v>
      </c>
    </row>
    <row r="207" spans="2:14">
      <c r="B207" s="23"/>
      <c r="D207" s="134"/>
      <c r="G207" s="42" t="s">
        <v>33</v>
      </c>
      <c r="H207" s="51">
        <f>DASHBOARD!D50</f>
        <v>39</v>
      </c>
      <c r="I207" s="55">
        <f>SUM(I209:I211)*(1/33)</f>
        <v>0.53544564182862053</v>
      </c>
      <c r="J207" s="53">
        <v>1</v>
      </c>
      <c r="K207" s="53">
        <f>D190*F204*I207*J207</f>
        <v>5.8392855607588253E-3</v>
      </c>
      <c r="L207" s="54">
        <f t="shared" si="20"/>
        <v>20.882380031316202</v>
      </c>
      <c r="M207" s="1" t="s">
        <v>138</v>
      </c>
      <c r="N207" s="87" t="s">
        <v>115</v>
      </c>
    </row>
    <row r="208" spans="2:14">
      <c r="B208" s="23"/>
      <c r="D208" s="134"/>
      <c r="G208" s="42" t="s">
        <v>34</v>
      </c>
      <c r="H208" s="51">
        <f>DASHBOARD!D51</f>
        <v>43.199999999999996</v>
      </c>
      <c r="I208" s="52">
        <f>SUM(I209:I211)*(1/100)</f>
        <v>0.17669706180344477</v>
      </c>
      <c r="J208" s="53">
        <v>1</v>
      </c>
      <c r="K208" s="53">
        <f>D190*F204*I208*J208</f>
        <v>1.9269642350504123E-3</v>
      </c>
      <c r="L208" s="54">
        <f t="shared" si="20"/>
        <v>7.6333130699088132</v>
      </c>
      <c r="M208" s="1" t="s">
        <v>136</v>
      </c>
      <c r="N208" s="87" t="s">
        <v>135</v>
      </c>
    </row>
    <row r="209" spans="2:14">
      <c r="B209" s="23"/>
      <c r="D209" s="134"/>
      <c r="F209" s="2" t="s">
        <v>451</v>
      </c>
      <c r="G209" s="42" t="s">
        <v>27</v>
      </c>
      <c r="H209" s="51">
        <f>DASHBOARD!D39</f>
        <v>30</v>
      </c>
      <c r="I209" s="52">
        <f>(DASHBOARD!$D$151*100/60)*(8/7)</f>
        <v>5.7142857142857135</v>
      </c>
      <c r="J209" s="53">
        <v>1</v>
      </c>
      <c r="K209" s="53">
        <f>D190*F204*I209*J209</f>
        <v>6.2316962647272503E-2</v>
      </c>
      <c r="L209" s="54">
        <f t="shared" si="20"/>
        <v>171.42857142857142</v>
      </c>
      <c r="M209" s="1" t="s">
        <v>48</v>
      </c>
      <c r="N209" s="87" t="s">
        <v>115</v>
      </c>
    </row>
    <row r="210" spans="2:14">
      <c r="B210" s="23"/>
      <c r="D210" s="134"/>
      <c r="F210" s="2" t="s">
        <v>452</v>
      </c>
      <c r="G210" s="42" t="s">
        <v>27</v>
      </c>
      <c r="H210" s="51">
        <f>DASHBOARD!D39</f>
        <v>30</v>
      </c>
      <c r="I210" s="52">
        <f>(DASHBOARD!$D$152*100/60)*(8/7)</f>
        <v>2.43161094224924</v>
      </c>
      <c r="J210" s="53">
        <v>1</v>
      </c>
      <c r="K210" s="53">
        <f>D190*F204*I210*J210</f>
        <v>2.6517856445647876E-2</v>
      </c>
      <c r="L210" s="54">
        <f t="shared" si="20"/>
        <v>72.948328267477194</v>
      </c>
      <c r="M210" s="1" t="s">
        <v>314</v>
      </c>
      <c r="N210" s="87" t="s">
        <v>115</v>
      </c>
    </row>
    <row r="211" spans="2:14">
      <c r="B211" s="23"/>
      <c r="D211" s="134"/>
      <c r="F211" s="2" t="s">
        <v>453</v>
      </c>
      <c r="G211" s="66" t="s">
        <v>27</v>
      </c>
      <c r="H211" s="51">
        <f>DASHBOARD!D39</f>
        <v>30</v>
      </c>
      <c r="I211" s="52">
        <f>(DASHBOARD!D153*100)/60*(8/7)</f>
        <v>9.5238095238095237</v>
      </c>
      <c r="J211" s="53">
        <v>1</v>
      </c>
      <c r="K211" s="53">
        <f>D190*F204*I211*J211</f>
        <v>0.10386160441212085</v>
      </c>
      <c r="L211" s="54">
        <f t="shared" si="20"/>
        <v>285.71428571428572</v>
      </c>
      <c r="M211" s="27" t="s">
        <v>78</v>
      </c>
      <c r="N211" s="87" t="s">
        <v>115</v>
      </c>
    </row>
    <row r="212" spans="2:14">
      <c r="B212" s="23"/>
      <c r="D212" s="134"/>
      <c r="G212" s="5" t="s">
        <v>41</v>
      </c>
      <c r="H212" s="56">
        <f>DASHBOARD!D57</f>
        <v>3.95</v>
      </c>
      <c r="I212" s="52">
        <v>1</v>
      </c>
      <c r="J212" s="53">
        <f>2*SUM(I209:I211)/8</f>
        <v>4.4174265450861192</v>
      </c>
      <c r="K212" s="53"/>
      <c r="L212" s="54">
        <f t="shared" si="20"/>
        <v>17.448834853090172</v>
      </c>
      <c r="M212" s="1" t="s">
        <v>139</v>
      </c>
      <c r="N212" s="87" t="s">
        <v>117</v>
      </c>
    </row>
    <row r="213" spans="2:14">
      <c r="B213" s="23"/>
      <c r="D213" s="134"/>
      <c r="G213" s="5" t="s">
        <v>9</v>
      </c>
      <c r="H213" s="56">
        <f>DASHBOARD!D58</f>
        <v>13.95</v>
      </c>
      <c r="I213" s="52">
        <v>1</v>
      </c>
      <c r="J213" s="53">
        <f>2*SUM(I209:I211)/8</f>
        <v>4.4174265450861192</v>
      </c>
      <c r="K213" s="53"/>
      <c r="L213" s="54">
        <f t="shared" si="20"/>
        <v>61.623100303951361</v>
      </c>
      <c r="M213" s="1" t="s">
        <v>139</v>
      </c>
      <c r="N213" s="87" t="s">
        <v>118</v>
      </c>
    </row>
    <row r="214" spans="2:14">
      <c r="B214" s="23"/>
      <c r="D214" s="134"/>
      <c r="G214" s="5" t="s">
        <v>16</v>
      </c>
      <c r="H214" s="56">
        <f>DASHBOARD!D59</f>
        <v>0.23960000000000001</v>
      </c>
      <c r="I214" s="52">
        <v>1</v>
      </c>
      <c r="J214" s="53">
        <f>ROUNDUP(I204/8,0)+(ROUNDUP(I209/8,0)+ROUNDUP(I210/8,0)+ROUNDUP(I211/8,0))*(100/DASHBOARD!$D$121)</f>
        <v>9.5106382978723403</v>
      </c>
      <c r="K214" s="53"/>
      <c r="L214" s="54">
        <f t="shared" si="20"/>
        <v>2.2787489361702127</v>
      </c>
      <c r="M214" s="1" t="s">
        <v>140</v>
      </c>
      <c r="N214" s="87" t="s">
        <v>119</v>
      </c>
    </row>
    <row r="215" spans="2:14">
      <c r="B215" s="23"/>
      <c r="D215" s="134"/>
      <c r="G215" s="5" t="s">
        <v>10</v>
      </c>
      <c r="H215" s="56">
        <f>DASHBOARD!D60</f>
        <v>1.7004999999999999</v>
      </c>
      <c r="I215" s="53">
        <v>1</v>
      </c>
      <c r="J215" s="53">
        <f>2*SUM(I209:I211)/8</f>
        <v>4.4174265450861192</v>
      </c>
      <c r="K215" s="53"/>
      <c r="L215" s="54">
        <f t="shared" si="20"/>
        <v>7.5118338399189453</v>
      </c>
      <c r="M215" s="1" t="s">
        <v>139</v>
      </c>
      <c r="N215" s="87" t="s">
        <v>119</v>
      </c>
    </row>
    <row r="216" spans="2:14">
      <c r="B216" s="23"/>
      <c r="D216" s="134"/>
      <c r="G216" s="1" t="s">
        <v>28</v>
      </c>
      <c r="H216" s="51">
        <f>DASHBOARD!D75</f>
        <v>12.16</v>
      </c>
      <c r="I216" s="52">
        <v>1</v>
      </c>
      <c r="J216" s="53">
        <v>100</v>
      </c>
      <c r="K216" s="53"/>
      <c r="L216" s="54">
        <f t="shared" si="20"/>
        <v>1216</v>
      </c>
      <c r="N216" s="87" t="s">
        <v>141</v>
      </c>
    </row>
    <row r="217" spans="2:14" ht="16.350000000000001" customHeight="1">
      <c r="B217" s="23"/>
      <c r="D217" s="134"/>
      <c r="G217" s="1" t="s">
        <v>29</v>
      </c>
      <c r="H217" s="51">
        <f>DASHBOARD!D76</f>
        <v>0.72</v>
      </c>
      <c r="I217" s="52">
        <v>1</v>
      </c>
      <c r="J217" s="53">
        <v>100</v>
      </c>
      <c r="K217" s="53"/>
      <c r="L217" s="54">
        <f t="shared" si="19"/>
        <v>72</v>
      </c>
      <c r="N217" s="87" t="s">
        <v>142</v>
      </c>
    </row>
    <row r="218" spans="2:14" ht="42.75" customHeight="1">
      <c r="B218" s="23"/>
      <c r="C218" s="26">
        <f>C4</f>
        <v>1907</v>
      </c>
      <c r="D218" s="140">
        <f>(1-D190)*DASHBOARD!$D$139</f>
        <v>0</v>
      </c>
      <c r="E218" s="21" t="s">
        <v>338</v>
      </c>
      <c r="F218" s="139">
        <f>1-F232</f>
        <v>0.95708652782908499</v>
      </c>
      <c r="G218" s="42" t="s">
        <v>14</v>
      </c>
      <c r="H218" s="3">
        <f>DASHBOARD!$D$35</f>
        <v>24.612000000000002</v>
      </c>
      <c r="I218" s="11">
        <f>DASHBOARD!$D$150*(100/60)*(8/7)</f>
        <v>7.6190476190476186</v>
      </c>
      <c r="J218" s="11">
        <v>1</v>
      </c>
      <c r="K218" s="11">
        <f>D218*F218*I218*J218</f>
        <v>0</v>
      </c>
      <c r="L218" s="4">
        <f>H218*I218*J218/DASHBOARD!$D$136</f>
        <v>46.88</v>
      </c>
      <c r="M218" s="1" t="s">
        <v>50</v>
      </c>
      <c r="N218" s="87" t="s">
        <v>133</v>
      </c>
    </row>
    <row r="219" spans="2:14">
      <c r="B219" s="23"/>
      <c r="D219" s="141" t="s">
        <v>330</v>
      </c>
      <c r="E219" s="21" t="s">
        <v>333</v>
      </c>
      <c r="F219" s="133" t="s">
        <v>332</v>
      </c>
      <c r="G219" s="42" t="s">
        <v>31</v>
      </c>
      <c r="H219" s="3">
        <f>DASHBOARD!$D$44</f>
        <v>48</v>
      </c>
      <c r="I219" s="11">
        <f>SUM(I223:I225)*(1/100)</f>
        <v>0.13860182370820667</v>
      </c>
      <c r="J219" s="11">
        <v>1</v>
      </c>
      <c r="K219" s="11">
        <f>D218*F218*I219*J219</f>
        <v>0</v>
      </c>
      <c r="L219" s="4">
        <f>H219*I219*J219/DASHBOARD!$D$136</f>
        <v>1.6632218844984801</v>
      </c>
      <c r="M219" s="1" t="s">
        <v>136</v>
      </c>
      <c r="N219" s="87" t="s">
        <v>115</v>
      </c>
    </row>
    <row r="220" spans="2:14">
      <c r="B220" s="23"/>
      <c r="D220" s="140"/>
      <c r="E220" s="137" t="s">
        <v>339</v>
      </c>
      <c r="G220" s="42" t="s">
        <v>32</v>
      </c>
      <c r="H220" s="3">
        <f>DASHBOARD!$D$49</f>
        <v>58.847999999999999</v>
      </c>
      <c r="I220" s="11">
        <f>SUM(I223:I225)*(1/10)</f>
        <v>1.3860182370820668</v>
      </c>
      <c r="J220" s="11">
        <v>1</v>
      </c>
      <c r="K220" s="11">
        <f>D218*F218*I220*J220</f>
        <v>0</v>
      </c>
      <c r="L220" s="4">
        <f>H220*I220*J220/DASHBOARD!$D$136</f>
        <v>20.391100303951369</v>
      </c>
      <c r="M220" s="1" t="s">
        <v>137</v>
      </c>
      <c r="N220" s="87" t="s">
        <v>134</v>
      </c>
    </row>
    <row r="221" spans="2:14">
      <c r="B221" s="23"/>
      <c r="D221" s="140"/>
      <c r="E221" s="137" t="s">
        <v>340</v>
      </c>
      <c r="G221" s="42" t="s">
        <v>33</v>
      </c>
      <c r="H221" s="3">
        <f>DASHBOARD!$D$50</f>
        <v>39</v>
      </c>
      <c r="I221" s="11">
        <f>SUM(I223:I225)*(1/33)</f>
        <v>0.42000552638850508</v>
      </c>
      <c r="J221" s="11">
        <v>1</v>
      </c>
      <c r="K221" s="11">
        <f>D218*F218*I221*J221</f>
        <v>0</v>
      </c>
      <c r="L221" s="4">
        <f>H221*I221*J221/DASHBOARD!$D$136</f>
        <v>4.0950538822879246</v>
      </c>
      <c r="M221" s="1" t="s">
        <v>138</v>
      </c>
      <c r="N221" s="87" t="s">
        <v>115</v>
      </c>
    </row>
    <row r="222" spans="2:14">
      <c r="B222" s="23"/>
      <c r="D222" s="140"/>
      <c r="E222" s="137" t="s">
        <v>335</v>
      </c>
      <c r="G222" s="42" t="s">
        <v>34</v>
      </c>
      <c r="H222" s="3">
        <f>DASHBOARD!$D$51</f>
        <v>43.199999999999996</v>
      </c>
      <c r="I222" s="11">
        <f>SUM(I223:I225)*(1/100)</f>
        <v>0.13860182370820667</v>
      </c>
      <c r="J222" s="11">
        <v>1</v>
      </c>
      <c r="K222" s="11">
        <f>D218*F218*I222*J222</f>
        <v>0</v>
      </c>
      <c r="L222" s="4">
        <f>H222*I222*J222/DASHBOARD!$D$136</f>
        <v>1.4968996960486318</v>
      </c>
      <c r="M222" s="1" t="s">
        <v>136</v>
      </c>
      <c r="N222" s="87" t="s">
        <v>135</v>
      </c>
    </row>
    <row r="223" spans="2:14">
      <c r="B223" s="23"/>
      <c r="D223" s="140"/>
      <c r="E223" s="138" t="s">
        <v>341</v>
      </c>
      <c r="F223" s="2" t="s">
        <v>451</v>
      </c>
      <c r="G223" s="42" t="s">
        <v>27</v>
      </c>
      <c r="H223" s="3">
        <f>DASHBOARD!$D$39</f>
        <v>30</v>
      </c>
      <c r="I223" s="52">
        <f>((DASHBOARD!$D$151+1)*100/60)*(8/7)</f>
        <v>7.6190476190476186</v>
      </c>
      <c r="J223" s="11">
        <v>1</v>
      </c>
      <c r="K223" s="11">
        <f>D218*F218*I223*J223</f>
        <v>0</v>
      </c>
      <c r="L223" s="4">
        <f>H223*I223*J223/DASHBOARD!$D$136</f>
        <v>57.142857142857139</v>
      </c>
      <c r="M223" s="1" t="s">
        <v>342</v>
      </c>
      <c r="N223" s="87" t="s">
        <v>115</v>
      </c>
    </row>
    <row r="224" spans="2:14" ht="15" customHeight="1">
      <c r="B224" s="23"/>
      <c r="D224" s="140"/>
      <c r="E224" s="143">
        <v>1</v>
      </c>
      <c r="F224" s="2" t="s">
        <v>452</v>
      </c>
      <c r="G224" s="42" t="s">
        <v>27</v>
      </c>
      <c r="H224" s="3">
        <f>DASHBOARD!$D$39</f>
        <v>30</v>
      </c>
      <c r="I224" s="52">
        <f>(DASHBOARD!$D$152*100/60)*(8/7)</f>
        <v>2.43161094224924</v>
      </c>
      <c r="J224" s="11">
        <v>1</v>
      </c>
      <c r="K224" s="11">
        <f>D218*F218*I224*J224</f>
        <v>0</v>
      </c>
      <c r="L224" s="4">
        <f>H224*I224*J224/DASHBOARD!$D$136</f>
        <v>18.237082066869299</v>
      </c>
      <c r="M224" s="1" t="s">
        <v>49</v>
      </c>
      <c r="N224" s="87" t="s">
        <v>115</v>
      </c>
    </row>
    <row r="225" spans="2:14" ht="31.5">
      <c r="B225" s="23"/>
      <c r="D225" s="140"/>
      <c r="F225" s="2" t="s">
        <v>453</v>
      </c>
      <c r="G225" s="66" t="s">
        <v>27</v>
      </c>
      <c r="H225" s="3">
        <f>DASHBOARD!$D$39</f>
        <v>30</v>
      </c>
      <c r="I225" s="11">
        <f>(DASHBOARD!$D$154*100)/60*(8/7)</f>
        <v>3.8095238095238093</v>
      </c>
      <c r="J225" s="11">
        <v>1</v>
      </c>
      <c r="K225" s="11">
        <f>D218*F218*I225*J225</f>
        <v>0</v>
      </c>
      <c r="L225" s="4">
        <f t="shared" ref="L225" si="21">H225*I225*J225</f>
        <v>114.28571428571428</v>
      </c>
      <c r="M225" s="27" t="s">
        <v>77</v>
      </c>
      <c r="N225" s="87" t="s">
        <v>115</v>
      </c>
    </row>
    <row r="226" spans="2:14">
      <c r="B226" s="23"/>
      <c r="D226" s="140"/>
      <c r="G226" s="1" t="s">
        <v>41</v>
      </c>
      <c r="H226" s="3">
        <f>DASHBOARD!$D$57</f>
        <v>3.95</v>
      </c>
      <c r="I226" s="11">
        <v>1</v>
      </c>
      <c r="J226" s="55">
        <f>2*SUM(I223:I225)/8</f>
        <v>3.4650455927051667</v>
      </c>
      <c r="K226" s="55"/>
      <c r="L226" s="4">
        <f>H226*I226*J226/DASHBOARD!$D$136</f>
        <v>3.4217325227963524</v>
      </c>
      <c r="M226" s="1" t="s">
        <v>139</v>
      </c>
      <c r="N226" s="87" t="s">
        <v>117</v>
      </c>
    </row>
    <row r="227" spans="2:14">
      <c r="B227" s="23"/>
      <c r="D227" s="140"/>
      <c r="G227" s="1" t="s">
        <v>9</v>
      </c>
      <c r="H227" s="3">
        <f>DASHBOARD!$D$58</f>
        <v>13.95</v>
      </c>
      <c r="I227" s="11">
        <v>1</v>
      </c>
      <c r="J227" s="55">
        <f>2*SUM(I223:I225)/8</f>
        <v>3.4650455927051667</v>
      </c>
      <c r="K227" s="55"/>
      <c r="L227" s="4">
        <f>H227*I227*J227/DASHBOARD!$D$136</f>
        <v>12.084346504559267</v>
      </c>
      <c r="M227" s="1" t="s">
        <v>139</v>
      </c>
      <c r="N227" s="87" t="s">
        <v>118</v>
      </c>
    </row>
    <row r="228" spans="2:14">
      <c r="B228" s="23"/>
      <c r="D228" s="140"/>
      <c r="G228" s="1" t="s">
        <v>16</v>
      </c>
      <c r="H228" s="3">
        <f>DASHBOARD!$D$59</f>
        <v>0.23960000000000001</v>
      </c>
      <c r="I228" s="11">
        <v>1</v>
      </c>
      <c r="J228" s="55">
        <f>ROUNDUP(I218/8,0)+(ROUNDUP(I223/8,0)+ROUNDUP(I224/8,0)+ROUNDUP(I225/8,0))*(100/DASHBOARD!$D$121)</f>
        <v>7.3829787234042552</v>
      </c>
      <c r="K228" s="55"/>
      <c r="L228" s="4">
        <f>H228*I228*J228/DASHBOARD!$D$136</f>
        <v>0.44224042553191489</v>
      </c>
      <c r="M228" s="1" t="s">
        <v>140</v>
      </c>
      <c r="N228" s="87" t="s">
        <v>119</v>
      </c>
    </row>
    <row r="229" spans="2:14">
      <c r="B229" s="23"/>
      <c r="D229" s="140"/>
      <c r="G229" s="1" t="s">
        <v>10</v>
      </c>
      <c r="H229" s="3">
        <f>DASHBOARD!$D$60</f>
        <v>1.7004999999999999</v>
      </c>
      <c r="I229" s="11">
        <v>1</v>
      </c>
      <c r="J229" s="55">
        <f>2*SUM(I223:I225)/8</f>
        <v>3.4650455927051667</v>
      </c>
      <c r="K229" s="55"/>
      <c r="L229" s="4">
        <f>H229*I229*J229/DASHBOARD!$D$136</f>
        <v>1.4730775075987839</v>
      </c>
      <c r="M229" s="1" t="s">
        <v>139</v>
      </c>
      <c r="N229" s="87" t="s">
        <v>119</v>
      </c>
    </row>
    <row r="230" spans="2:14">
      <c r="B230" s="23"/>
      <c r="D230" s="140"/>
      <c r="G230" s="1" t="s">
        <v>28</v>
      </c>
      <c r="H230" s="3">
        <f>DASHBOARD!$D$75</f>
        <v>12.16</v>
      </c>
      <c r="I230" s="11">
        <v>1</v>
      </c>
      <c r="J230" s="11">
        <v>100</v>
      </c>
      <c r="K230" s="11"/>
      <c r="L230" s="4">
        <f>H230*I230*J230/DASHBOARD!$D$136</f>
        <v>304</v>
      </c>
      <c r="N230" s="87" t="s">
        <v>141</v>
      </c>
    </row>
    <row r="231" spans="2:14">
      <c r="B231" s="23"/>
      <c r="C231" s="3"/>
      <c r="D231" s="140"/>
      <c r="G231" s="1" t="s">
        <v>29</v>
      </c>
      <c r="H231" s="3">
        <f>DASHBOARD!$D$76</f>
        <v>0.72</v>
      </c>
      <c r="I231" s="11">
        <v>1</v>
      </c>
      <c r="J231" s="11">
        <v>100</v>
      </c>
      <c r="K231" s="11"/>
      <c r="L231" s="4">
        <f>H231*I231*J231/DASHBOARD!$D$136</f>
        <v>18</v>
      </c>
      <c r="N231" s="87" t="s">
        <v>142</v>
      </c>
    </row>
    <row r="232" spans="2:14">
      <c r="B232" s="23"/>
      <c r="C232" s="3"/>
      <c r="D232" s="140"/>
      <c r="F232" s="139">
        <f>1-(F190^DASHBOARD!$D$136)</f>
        <v>4.2913472170915012E-2</v>
      </c>
      <c r="G232" s="42" t="s">
        <v>14</v>
      </c>
      <c r="H232" s="3">
        <f>DASHBOARD!$D$35</f>
        <v>24.612000000000002</v>
      </c>
      <c r="I232" s="11">
        <f>DASHBOARD!$D$150*(100/60)*(8/7)</f>
        <v>7.6190476190476186</v>
      </c>
      <c r="J232" s="11">
        <v>1</v>
      </c>
      <c r="K232" s="11">
        <f>D218*F232*I232*J232</f>
        <v>0</v>
      </c>
      <c r="L232" s="4">
        <f>H232*I232*J232/DASHBOARD!$D$136</f>
        <v>46.88</v>
      </c>
      <c r="M232" s="1" t="s">
        <v>50</v>
      </c>
      <c r="N232" s="87" t="s">
        <v>133</v>
      </c>
    </row>
    <row r="233" spans="2:14">
      <c r="B233" s="23"/>
      <c r="C233" s="3"/>
      <c r="D233" s="140"/>
      <c r="F233" s="133" t="s">
        <v>331</v>
      </c>
      <c r="G233" s="42" t="s">
        <v>31</v>
      </c>
      <c r="H233" s="3">
        <f>DASHBOARD!$D$44</f>
        <v>48</v>
      </c>
      <c r="I233" s="11">
        <f>SUM(I237:I239)*(1/100)</f>
        <v>0.19577142857180951</v>
      </c>
      <c r="J233" s="11">
        <v>1</v>
      </c>
      <c r="K233" s="11">
        <f>D218*F232*I233*J233</f>
        <v>0</v>
      </c>
      <c r="L233" s="4">
        <f>H233*I233*J233/DASHBOARD!$D$136</f>
        <v>2.3492571428617142</v>
      </c>
      <c r="M233" s="1" t="s">
        <v>136</v>
      </c>
      <c r="N233" s="87" t="s">
        <v>115</v>
      </c>
    </row>
    <row r="234" spans="2:14">
      <c r="B234" s="23"/>
      <c r="C234" s="3"/>
      <c r="D234" s="140"/>
      <c r="G234" s="42" t="s">
        <v>32</v>
      </c>
      <c r="H234" s="3">
        <f>DASHBOARD!$D$49</f>
        <v>58.847999999999999</v>
      </c>
      <c r="I234" s="11">
        <f>SUM(I237:I239)*(1/10)</f>
        <v>1.9577142857180954</v>
      </c>
      <c r="J234" s="11">
        <v>1</v>
      </c>
      <c r="K234" s="11">
        <f>D218*F232*I234*J234</f>
        <v>0</v>
      </c>
      <c r="L234" s="4">
        <f>H234*I234*J234/DASHBOARD!$D$136</f>
        <v>28.801892571484618</v>
      </c>
      <c r="M234" s="1" t="s">
        <v>137</v>
      </c>
      <c r="N234" s="87" t="s">
        <v>134</v>
      </c>
    </row>
    <row r="235" spans="2:14">
      <c r="B235" s="23"/>
      <c r="D235" s="140"/>
      <c r="G235" s="42" t="s">
        <v>33</v>
      </c>
      <c r="H235" s="3">
        <f>DASHBOARD!$D$50</f>
        <v>39</v>
      </c>
      <c r="I235" s="11">
        <f>SUM(I237:I239)*(1/33)</f>
        <v>0.59324675324790765</v>
      </c>
      <c r="J235" s="11">
        <v>1</v>
      </c>
      <c r="K235" s="11">
        <f>D218*F232*I235*J235</f>
        <v>0</v>
      </c>
      <c r="L235" s="4">
        <f>H235*I235*J235/DASHBOARD!$D$136</f>
        <v>5.7841558441670999</v>
      </c>
      <c r="M235" s="1" t="s">
        <v>138</v>
      </c>
      <c r="N235" s="87" t="s">
        <v>115</v>
      </c>
    </row>
    <row r="236" spans="2:14">
      <c r="B236" s="23"/>
      <c r="D236" s="140"/>
      <c r="G236" s="42" t="s">
        <v>34</v>
      </c>
      <c r="H236" s="3">
        <f>DASHBOARD!$D$51</f>
        <v>43.199999999999996</v>
      </c>
      <c r="I236" s="11">
        <f>SUM(I237:I239)*(1/100)</f>
        <v>0.19577142857180951</v>
      </c>
      <c r="J236" s="11">
        <v>1</v>
      </c>
      <c r="K236" s="11">
        <f>D218*F232*I236*J236</f>
        <v>0</v>
      </c>
      <c r="L236" s="4">
        <f>H236*I236*J236/DASHBOARD!$D$136</f>
        <v>2.1143314285755426</v>
      </c>
      <c r="M236" s="1" t="s">
        <v>136</v>
      </c>
      <c r="N236" s="87" t="s">
        <v>135</v>
      </c>
    </row>
    <row r="237" spans="2:14">
      <c r="B237" s="23"/>
      <c r="D237" s="140"/>
      <c r="F237" s="2" t="s">
        <v>451</v>
      </c>
      <c r="G237" s="42" t="s">
        <v>27</v>
      </c>
      <c r="H237" s="3">
        <f>DASHBOARD!$D$39</f>
        <v>30</v>
      </c>
      <c r="I237" s="11">
        <f>6.6666666667*(8/7)</f>
        <v>7.6190476190857144</v>
      </c>
      <c r="J237" s="11">
        <v>1</v>
      </c>
      <c r="K237" s="11">
        <f>D218*F232*I237*J237</f>
        <v>0</v>
      </c>
      <c r="L237" s="4">
        <f>H237*I237*J237/DASHBOARD!$D$136</f>
        <v>57.142857143142855</v>
      </c>
      <c r="M237" s="1" t="s">
        <v>342</v>
      </c>
      <c r="N237" s="87" t="s">
        <v>115</v>
      </c>
    </row>
    <row r="238" spans="2:14">
      <c r="B238" s="23"/>
      <c r="D238" s="140"/>
      <c r="F238" s="2" t="s">
        <v>452</v>
      </c>
      <c r="G238" s="42" t="s">
        <v>27</v>
      </c>
      <c r="H238" s="3">
        <f>DASHBOARD!$D$39</f>
        <v>30</v>
      </c>
      <c r="I238" s="11">
        <f>2.13*(8/7)</f>
        <v>2.4342857142857142</v>
      </c>
      <c r="J238" s="11">
        <v>1</v>
      </c>
      <c r="K238" s="11">
        <f>D218*F232*I238*J238</f>
        <v>0</v>
      </c>
      <c r="L238" s="4">
        <f>H238*I238*J238/DASHBOARD!$D$136</f>
        <v>18.257142857142856</v>
      </c>
      <c r="M238" s="1" t="s">
        <v>49</v>
      </c>
      <c r="N238" s="87" t="s">
        <v>115</v>
      </c>
    </row>
    <row r="239" spans="2:14">
      <c r="B239" s="23"/>
      <c r="D239" s="140"/>
      <c r="F239" s="2" t="s">
        <v>453</v>
      </c>
      <c r="G239" s="66" t="s">
        <v>27</v>
      </c>
      <c r="H239" s="3">
        <f>DASHBOARD!$D$39</f>
        <v>30</v>
      </c>
      <c r="I239" s="11">
        <f>(DASHBOARD!$D$153*100)/60*(8/7)</f>
        <v>9.5238095238095237</v>
      </c>
      <c r="J239" s="11">
        <v>1</v>
      </c>
      <c r="K239" s="11">
        <f>D218*F232*I239*J239</f>
        <v>0</v>
      </c>
      <c r="L239" s="4">
        <f>H239*I239*J239*0</f>
        <v>0</v>
      </c>
      <c r="M239" s="27" t="s">
        <v>345</v>
      </c>
      <c r="N239" s="87" t="s">
        <v>115</v>
      </c>
    </row>
    <row r="240" spans="2:14">
      <c r="B240" s="23"/>
      <c r="D240" s="140"/>
      <c r="G240" s="1" t="s">
        <v>41</v>
      </c>
      <c r="H240" s="3">
        <f>DASHBOARD!$D$57</f>
        <v>3.95</v>
      </c>
      <c r="I240" s="11">
        <v>1</v>
      </c>
      <c r="J240" s="55">
        <f>2*SUM(I237:I239)/8</f>
        <v>4.8942857142952381</v>
      </c>
      <c r="K240" s="55"/>
      <c r="L240" s="4">
        <f>H240*I240*J240/DASHBOARD!$D$136</f>
        <v>4.833107142866548</v>
      </c>
      <c r="M240" s="1" t="s">
        <v>139</v>
      </c>
      <c r="N240" s="87" t="s">
        <v>117</v>
      </c>
    </row>
    <row r="241" spans="2:14">
      <c r="B241" s="23"/>
      <c r="D241" s="140"/>
      <c r="G241" s="1" t="s">
        <v>9</v>
      </c>
      <c r="H241" s="3">
        <f>DASHBOARD!$D$58</f>
        <v>13.95</v>
      </c>
      <c r="I241" s="11">
        <v>1</v>
      </c>
      <c r="J241" s="55">
        <f>2*SUM(I237:I239)/8</f>
        <v>4.8942857142952381</v>
      </c>
      <c r="K241" s="55"/>
      <c r="L241" s="4">
        <f>H241*I241*J241/DASHBOARD!$D$136</f>
        <v>17.068821428604643</v>
      </c>
      <c r="M241" s="1" t="s">
        <v>139</v>
      </c>
      <c r="N241" s="87" t="s">
        <v>118</v>
      </c>
    </row>
    <row r="242" spans="2:14">
      <c r="B242" s="23"/>
      <c r="D242" s="140"/>
      <c r="G242" s="1" t="s">
        <v>16</v>
      </c>
      <c r="H242" s="3">
        <f>DASHBOARD!$D$59</f>
        <v>0.23960000000000001</v>
      </c>
      <c r="I242" s="11">
        <v>1</v>
      </c>
      <c r="J242" s="55">
        <f>ROUNDUP(I232/8,0)+(ROUNDUP(I237/8,0)+ROUNDUP(I238/8,0)+ROUNDUP(I239/8,0))*(100/DASHBOARD!$D$121)</f>
        <v>9.5106382978723403</v>
      </c>
      <c r="K242" s="55"/>
      <c r="L242" s="4">
        <f>H242*I242*J242/DASHBOARD!$D$136</f>
        <v>0.56968723404255317</v>
      </c>
      <c r="M242" s="1" t="s">
        <v>140</v>
      </c>
      <c r="N242" s="87" t="s">
        <v>119</v>
      </c>
    </row>
    <row r="243" spans="2:14">
      <c r="B243" s="23"/>
      <c r="D243" s="140"/>
      <c r="G243" s="1" t="s">
        <v>10</v>
      </c>
      <c r="H243" s="3">
        <f>DASHBOARD!$D$60</f>
        <v>1.7004999999999999</v>
      </c>
      <c r="I243" s="11">
        <v>1</v>
      </c>
      <c r="J243" s="55">
        <f>2*SUM(I237:I239)/8</f>
        <v>4.8942857142952381</v>
      </c>
      <c r="K243" s="55"/>
      <c r="L243" s="4">
        <f>H243*I243*J243/DASHBOARD!$D$136</f>
        <v>2.0806832142897629</v>
      </c>
      <c r="M243" s="1" t="s">
        <v>139</v>
      </c>
      <c r="N243" s="87" t="s">
        <v>119</v>
      </c>
    </row>
    <row r="244" spans="2:14">
      <c r="B244" s="23"/>
      <c r="D244" s="140"/>
      <c r="G244" s="1" t="s">
        <v>28</v>
      </c>
      <c r="H244" s="3">
        <f>DASHBOARD!$D$75</f>
        <v>12.16</v>
      </c>
      <c r="I244" s="11">
        <v>1</v>
      </c>
      <c r="J244" s="11">
        <v>100</v>
      </c>
      <c r="K244" s="11"/>
      <c r="L244" s="4">
        <f>H244*I244*J244/DASHBOARD!$D$136</f>
        <v>304</v>
      </c>
      <c r="N244" s="87" t="s">
        <v>141</v>
      </c>
    </row>
    <row r="245" spans="2:14" ht="16.350000000000001" customHeight="1">
      <c r="B245" s="23"/>
      <c r="D245" s="140"/>
      <c r="G245" s="1" t="s">
        <v>29</v>
      </c>
      <c r="H245" s="3">
        <f>DASHBOARD!$D$76</f>
        <v>0.72</v>
      </c>
      <c r="I245" s="11">
        <v>1</v>
      </c>
      <c r="J245" s="11">
        <v>100</v>
      </c>
      <c r="K245" s="11"/>
      <c r="L245" s="4">
        <f>H245*I245*J245/DASHBOARD!$D$136</f>
        <v>18</v>
      </c>
      <c r="N245" s="87" t="s">
        <v>142</v>
      </c>
    </row>
    <row r="246" spans="2:14" ht="16.350000000000001" customHeight="1">
      <c r="B246" s="23"/>
      <c r="D246" s="140"/>
      <c r="E246" s="21" t="s">
        <v>338</v>
      </c>
      <c r="F246" s="139">
        <f>1-F260</f>
        <v>0.74587308107256889</v>
      </c>
      <c r="G246" s="42" t="s">
        <v>14</v>
      </c>
      <c r="H246" s="3">
        <f>DASHBOARD!$D$35</f>
        <v>24.612000000000002</v>
      </c>
      <c r="I246" s="11">
        <f>DASHBOARD!$D$150*(100/60)*(8/7)</f>
        <v>7.6190476190476186</v>
      </c>
      <c r="J246" s="11">
        <v>1</v>
      </c>
      <c r="K246" s="11">
        <f>D218*E252*F246*I246*J246</f>
        <v>0</v>
      </c>
      <c r="L246" s="4">
        <f>H246*I246*J246</f>
        <v>187.52</v>
      </c>
      <c r="M246" s="1" t="s">
        <v>50</v>
      </c>
      <c r="N246" s="87" t="s">
        <v>133</v>
      </c>
    </row>
    <row r="247" spans="2:14" ht="16.350000000000001" customHeight="1">
      <c r="B247" s="23"/>
      <c r="D247" s="140"/>
      <c r="E247" s="21" t="s">
        <v>334</v>
      </c>
      <c r="F247" s="133" t="s">
        <v>332</v>
      </c>
      <c r="G247" s="42" t="s">
        <v>31</v>
      </c>
      <c r="H247" s="3">
        <f>DASHBOARD!$D$44</f>
        <v>48</v>
      </c>
      <c r="I247" s="11">
        <f>SUM(I251:I253)*(1/100)</f>
        <v>0.11955420459523812</v>
      </c>
      <c r="J247" s="11">
        <v>1</v>
      </c>
      <c r="K247" s="11">
        <f>D218*E252*F246*I247*J247</f>
        <v>0</v>
      </c>
      <c r="L247" s="4">
        <f>H247*I247*J247</f>
        <v>5.7386018205714295</v>
      </c>
      <c r="M247" s="1" t="s">
        <v>136</v>
      </c>
      <c r="N247" s="87" t="s">
        <v>115</v>
      </c>
    </row>
    <row r="248" spans="2:14" ht="16.350000000000001" customHeight="1">
      <c r="B248" s="23"/>
      <c r="D248" s="140"/>
      <c r="E248" s="137" t="s">
        <v>339</v>
      </c>
      <c r="G248" s="42" t="s">
        <v>32</v>
      </c>
      <c r="H248" s="3">
        <f>DASHBOARD!$D$49</f>
        <v>58.847999999999999</v>
      </c>
      <c r="I248" s="11">
        <f>SUM(I251:I253)*(1/10)</f>
        <v>1.1955420459523811</v>
      </c>
      <c r="J248" s="11">
        <v>1</v>
      </c>
      <c r="K248" s="11">
        <f>D218*E252*F246*I248*J248</f>
        <v>0</v>
      </c>
      <c r="L248" s="4">
        <f>H248*I248*J248</f>
        <v>70.355258320205721</v>
      </c>
      <c r="M248" s="1" t="s">
        <v>137</v>
      </c>
      <c r="N248" s="87" t="s">
        <v>134</v>
      </c>
    </row>
    <row r="249" spans="2:14" ht="16.350000000000001" customHeight="1">
      <c r="B249" s="23"/>
      <c r="D249" s="140"/>
      <c r="E249" s="137" t="s">
        <v>340</v>
      </c>
      <c r="G249" s="42" t="s">
        <v>33</v>
      </c>
      <c r="H249" s="3">
        <f>DASHBOARD!$D$50</f>
        <v>39</v>
      </c>
      <c r="I249" s="11">
        <f>SUM(I251:I253)*(1/33)</f>
        <v>0.36228546847041854</v>
      </c>
      <c r="J249" s="11">
        <v>1</v>
      </c>
      <c r="K249" s="11">
        <f>D218*E252*F246*I249*J249</f>
        <v>0</v>
      </c>
      <c r="L249" s="4">
        <f>H249*I249*J249</f>
        <v>14.129133270346323</v>
      </c>
      <c r="M249" s="1" t="s">
        <v>138</v>
      </c>
      <c r="N249" s="87" t="s">
        <v>115</v>
      </c>
    </row>
    <row r="250" spans="2:14" ht="16.350000000000001" customHeight="1">
      <c r="B250" s="23"/>
      <c r="D250" s="140"/>
      <c r="E250" s="137" t="s">
        <v>336</v>
      </c>
      <c r="G250" s="42" t="s">
        <v>34</v>
      </c>
      <c r="H250" s="3">
        <f>DASHBOARD!$D$51</f>
        <v>43.199999999999996</v>
      </c>
      <c r="I250" s="11">
        <f>SUM(I251:I253)*(1/100)</f>
        <v>0.11955420459523812</v>
      </c>
      <c r="J250" s="11">
        <v>1</v>
      </c>
      <c r="K250" s="11">
        <f>D218*E252*F246*I250*J250</f>
        <v>0</v>
      </c>
      <c r="L250" s="4">
        <f>H250*I250*J250</f>
        <v>5.1647416385142861</v>
      </c>
      <c r="M250" s="1" t="s">
        <v>136</v>
      </c>
      <c r="N250" s="87" t="s">
        <v>135</v>
      </c>
    </row>
    <row r="251" spans="2:14" ht="16.350000000000001" customHeight="1">
      <c r="B251" s="23"/>
      <c r="D251" s="140"/>
      <c r="E251" s="138" t="s">
        <v>341</v>
      </c>
      <c r="F251" s="2" t="s">
        <v>451</v>
      </c>
      <c r="G251" s="42" t="s">
        <v>27</v>
      </c>
      <c r="H251" s="3">
        <f>DASHBOARD!$D$39</f>
        <v>30</v>
      </c>
      <c r="I251" s="354">
        <v>5.7142857100000004</v>
      </c>
      <c r="J251" s="11">
        <v>1</v>
      </c>
      <c r="K251" s="11">
        <f>D218*E252*F246*I251*J251</f>
        <v>0</v>
      </c>
      <c r="L251" s="4">
        <f t="shared" ref="L251:L273" si="22">H251*I251*J251</f>
        <v>171.42857130000002</v>
      </c>
      <c r="M251" s="1" t="s">
        <v>48</v>
      </c>
      <c r="N251" s="87" t="s">
        <v>115</v>
      </c>
    </row>
    <row r="252" spans="2:14" ht="16.350000000000001" customHeight="1">
      <c r="B252" s="23"/>
      <c r="D252" s="140"/>
      <c r="E252" s="142">
        <f>F232</f>
        <v>4.2913472170915012E-2</v>
      </c>
      <c r="F252" s="2" t="s">
        <v>452</v>
      </c>
      <c r="G252" s="42" t="s">
        <v>27</v>
      </c>
      <c r="H252" s="3">
        <f>DASHBOARD!$D$39</f>
        <v>30</v>
      </c>
      <c r="I252" s="354">
        <v>2.4316109400000001</v>
      </c>
      <c r="J252" s="11">
        <v>1</v>
      </c>
      <c r="K252" s="11">
        <f>D218*E252*F246*I252*J252</f>
        <v>0</v>
      </c>
      <c r="L252" s="4">
        <f t="shared" si="22"/>
        <v>72.948328200000006</v>
      </c>
      <c r="M252" s="1" t="s">
        <v>49</v>
      </c>
      <c r="N252" s="87" t="s">
        <v>115</v>
      </c>
    </row>
    <row r="253" spans="2:14" ht="16.350000000000001" customHeight="1">
      <c r="B253" s="23"/>
      <c r="D253" s="140"/>
      <c r="E253" s="137"/>
      <c r="F253" s="2" t="s">
        <v>453</v>
      </c>
      <c r="G253" s="66" t="s">
        <v>27</v>
      </c>
      <c r="H253" s="3">
        <f>DASHBOARD!$D$39</f>
        <v>30</v>
      </c>
      <c r="I253" s="11">
        <f>(DASHBOARD!$D$154*100)/60*(8/7)</f>
        <v>3.8095238095238093</v>
      </c>
      <c r="J253" s="11">
        <v>1</v>
      </c>
      <c r="K253" s="11">
        <f>D218*E252*F246*I253*J253</f>
        <v>0</v>
      </c>
      <c r="L253" s="4">
        <f t="shared" si="22"/>
        <v>114.28571428571428</v>
      </c>
      <c r="M253" s="27" t="s">
        <v>77</v>
      </c>
      <c r="N253" s="87" t="s">
        <v>115</v>
      </c>
    </row>
    <row r="254" spans="2:14" ht="16.350000000000001" customHeight="1">
      <c r="B254" s="23"/>
      <c r="D254" s="140"/>
      <c r="G254" s="1" t="s">
        <v>41</v>
      </c>
      <c r="H254" s="3">
        <f>DASHBOARD!$D$57</f>
        <v>3.95</v>
      </c>
      <c r="I254" s="11">
        <v>1</v>
      </c>
      <c r="J254" s="55">
        <f>2*SUM(I251:I253)/8</f>
        <v>2.9888551148809528</v>
      </c>
      <c r="K254" s="55"/>
      <c r="L254" s="4">
        <f t="shared" si="22"/>
        <v>11.805977703779764</v>
      </c>
      <c r="M254" s="1" t="s">
        <v>139</v>
      </c>
      <c r="N254" s="87" t="s">
        <v>117</v>
      </c>
    </row>
    <row r="255" spans="2:14" ht="16.350000000000001" customHeight="1">
      <c r="B255" s="23"/>
      <c r="D255" s="140"/>
      <c r="G255" s="1" t="s">
        <v>9</v>
      </c>
      <c r="H255" s="3">
        <f>DASHBOARD!$D$58</f>
        <v>13.95</v>
      </c>
      <c r="I255" s="11">
        <v>1</v>
      </c>
      <c r="J255" s="55">
        <f>2*SUM(I251:I253)/8</f>
        <v>2.9888551148809528</v>
      </c>
      <c r="K255" s="55"/>
      <c r="L255" s="4">
        <f t="shared" si="22"/>
        <v>41.694528852589286</v>
      </c>
      <c r="M255" s="1" t="s">
        <v>139</v>
      </c>
      <c r="N255" s="87" t="s">
        <v>118</v>
      </c>
    </row>
    <row r="256" spans="2:14" ht="16.350000000000001" customHeight="1">
      <c r="B256" s="23"/>
      <c r="D256" s="140"/>
      <c r="G256" s="1" t="s">
        <v>16</v>
      </c>
      <c r="H256" s="3">
        <f>DASHBOARD!$D$59</f>
        <v>0.23960000000000001</v>
      </c>
      <c r="I256" s="11">
        <v>1</v>
      </c>
      <c r="J256" s="55">
        <f>ROUNDUP(I246/8,0)+(ROUNDUP(I251/8,0)+ROUNDUP(I252/8,0)+ROUNDUP(I253/8,0))*(100/DASHBOARD!$D$121)</f>
        <v>7.3829787234042552</v>
      </c>
      <c r="K256" s="55"/>
      <c r="L256" s="4">
        <f t="shared" si="22"/>
        <v>1.7689617021276596</v>
      </c>
      <c r="M256" s="1" t="s">
        <v>140</v>
      </c>
      <c r="N256" s="87" t="s">
        <v>119</v>
      </c>
    </row>
    <row r="257" spans="2:14" ht="16.350000000000001" customHeight="1">
      <c r="B257" s="23"/>
      <c r="D257" s="140"/>
      <c r="G257" s="1" t="s">
        <v>10</v>
      </c>
      <c r="H257" s="3">
        <f>DASHBOARD!$D$60</f>
        <v>1.7004999999999999</v>
      </c>
      <c r="I257" s="11">
        <v>1</v>
      </c>
      <c r="J257" s="55">
        <f>2*SUM(I251:I253)/8</f>
        <v>2.9888551148809528</v>
      </c>
      <c r="K257" s="55"/>
      <c r="L257" s="4">
        <f t="shared" si="22"/>
        <v>5.0825481228550595</v>
      </c>
      <c r="M257" s="1" t="s">
        <v>139</v>
      </c>
      <c r="N257" s="87" t="s">
        <v>119</v>
      </c>
    </row>
    <row r="258" spans="2:14" ht="16.350000000000001" customHeight="1">
      <c r="B258" s="23"/>
      <c r="D258" s="140"/>
      <c r="G258" s="1" t="s">
        <v>28</v>
      </c>
      <c r="H258" s="3">
        <f>DASHBOARD!$D$75</f>
        <v>12.16</v>
      </c>
      <c r="I258" s="11">
        <v>1</v>
      </c>
      <c r="J258" s="11">
        <v>100</v>
      </c>
      <c r="K258" s="11"/>
      <c r="L258" s="4">
        <f t="shared" si="22"/>
        <v>1216</v>
      </c>
      <c r="N258" s="87" t="s">
        <v>141</v>
      </c>
    </row>
    <row r="259" spans="2:14" ht="16.350000000000001" customHeight="1">
      <c r="B259" s="23"/>
      <c r="D259" s="140"/>
      <c r="G259" s="1" t="s">
        <v>29</v>
      </c>
      <c r="H259" s="3">
        <f>DASHBOARD!$D$76</f>
        <v>0.72</v>
      </c>
      <c r="I259" s="11">
        <v>1</v>
      </c>
      <c r="J259" s="11">
        <v>100</v>
      </c>
      <c r="K259" s="11"/>
      <c r="L259" s="4">
        <f t="shared" si="22"/>
        <v>72</v>
      </c>
      <c r="N259" s="87" t="s">
        <v>142</v>
      </c>
    </row>
    <row r="260" spans="2:14" ht="16.350000000000001" customHeight="1">
      <c r="B260" s="23"/>
      <c r="D260" s="140"/>
      <c r="F260" s="139">
        <f>DASHBOARD!$D$97/E252</f>
        <v>0.25412691892743106</v>
      </c>
      <c r="G260" s="42" t="s">
        <v>14</v>
      </c>
      <c r="H260" s="3">
        <f>DASHBOARD!$D$35</f>
        <v>24.612000000000002</v>
      </c>
      <c r="I260" s="11">
        <f>DASHBOARD!$D$150*(100/60)*(8/7)</f>
        <v>7.6190476190476186</v>
      </c>
      <c r="J260" s="11">
        <v>1</v>
      </c>
      <c r="K260" s="11">
        <f>D218*E252*F260*I260*J260</f>
        <v>0</v>
      </c>
      <c r="L260" s="4">
        <f t="shared" si="22"/>
        <v>187.52</v>
      </c>
      <c r="M260" s="1" t="s">
        <v>50</v>
      </c>
      <c r="N260" s="87" t="s">
        <v>133</v>
      </c>
    </row>
    <row r="261" spans="2:14" ht="16.350000000000001" customHeight="1">
      <c r="B261" s="23"/>
      <c r="D261" s="140"/>
      <c r="F261" s="133" t="s">
        <v>331</v>
      </c>
      <c r="G261" s="42" t="s">
        <v>31</v>
      </c>
      <c r="H261" s="3">
        <f>DASHBOARD!$D$44</f>
        <v>48</v>
      </c>
      <c r="I261" s="11">
        <f>SUM(I265:I267)*(1/100)</f>
        <v>0.17669706173809524</v>
      </c>
      <c r="J261" s="11">
        <v>1</v>
      </c>
      <c r="K261" s="11">
        <f>D218*E252*F260*I261*J261</f>
        <v>0</v>
      </c>
      <c r="L261" s="4">
        <f t="shared" si="22"/>
        <v>8.4814589634285724</v>
      </c>
      <c r="M261" s="1" t="s">
        <v>136</v>
      </c>
      <c r="N261" s="87" t="s">
        <v>115</v>
      </c>
    </row>
    <row r="262" spans="2:14" ht="16.350000000000001" customHeight="1">
      <c r="B262" s="23"/>
      <c r="D262" s="140"/>
      <c r="G262" s="42" t="s">
        <v>32</v>
      </c>
      <c r="H262" s="3">
        <f>DASHBOARD!$D$49</f>
        <v>58.847999999999999</v>
      </c>
      <c r="I262" s="11">
        <f>SUM(I265:I267)*(1/10)</f>
        <v>1.7669706173809523</v>
      </c>
      <c r="J262" s="11">
        <v>1</v>
      </c>
      <c r="K262" s="11">
        <f>D218*E252*F260*I262*J262</f>
        <v>0</v>
      </c>
      <c r="L262" s="4">
        <f t="shared" si="22"/>
        <v>103.98268689163427</v>
      </c>
      <c r="M262" s="1" t="s">
        <v>137</v>
      </c>
      <c r="N262" s="87" t="s">
        <v>134</v>
      </c>
    </row>
    <row r="263" spans="2:14" ht="16.350000000000001" customHeight="1">
      <c r="B263" s="23"/>
      <c r="D263" s="140"/>
      <c r="G263" s="42" t="s">
        <v>33</v>
      </c>
      <c r="H263" s="3">
        <f>DASHBOARD!$D$50</f>
        <v>39</v>
      </c>
      <c r="I263" s="11">
        <f>SUM(I265:I267)*(1/33)</f>
        <v>0.53544564163059161</v>
      </c>
      <c r="J263" s="11">
        <v>1</v>
      </c>
      <c r="K263" s="11">
        <f>D218*E252*F260*I263*J263</f>
        <v>0</v>
      </c>
      <c r="L263" s="4">
        <f t="shared" si="22"/>
        <v>20.882380023593072</v>
      </c>
      <c r="M263" s="1" t="s">
        <v>138</v>
      </c>
      <c r="N263" s="87" t="s">
        <v>115</v>
      </c>
    </row>
    <row r="264" spans="2:14" ht="16.350000000000001" customHeight="1">
      <c r="B264" s="23"/>
      <c r="D264" s="140"/>
      <c r="G264" s="42" t="s">
        <v>34</v>
      </c>
      <c r="H264" s="3">
        <f>DASHBOARD!$D$51</f>
        <v>43.199999999999996</v>
      </c>
      <c r="I264" s="11">
        <f>SUM(I265:I267)*(1/100)</f>
        <v>0.17669706173809524</v>
      </c>
      <c r="J264" s="11">
        <v>1</v>
      </c>
      <c r="K264" s="11">
        <f>D218*E252*F260*I264*J264</f>
        <v>0</v>
      </c>
      <c r="L264" s="4">
        <f t="shared" si="22"/>
        <v>7.6333130670857132</v>
      </c>
      <c r="M264" s="1" t="s">
        <v>136</v>
      </c>
      <c r="N264" s="87" t="s">
        <v>135</v>
      </c>
    </row>
    <row r="265" spans="2:14" ht="16.350000000000001" customHeight="1">
      <c r="B265" s="23"/>
      <c r="D265" s="140"/>
      <c r="F265" s="2" t="s">
        <v>451</v>
      </c>
      <c r="G265" s="42" t="s">
        <v>27</v>
      </c>
      <c r="H265" s="3">
        <f>DASHBOARD!$D$39</f>
        <v>30</v>
      </c>
      <c r="I265" s="354">
        <v>5.7142857100000004</v>
      </c>
      <c r="J265" s="11">
        <v>1</v>
      </c>
      <c r="K265" s="11">
        <f>D218*E252*F260*I265*J265</f>
        <v>0</v>
      </c>
      <c r="L265" s="4">
        <f t="shared" si="22"/>
        <v>171.42857130000002</v>
      </c>
      <c r="M265" s="1" t="s">
        <v>48</v>
      </c>
      <c r="N265" s="87" t="s">
        <v>115</v>
      </c>
    </row>
    <row r="266" spans="2:14" ht="16.350000000000001" customHeight="1">
      <c r="B266" s="23"/>
      <c r="D266" s="140"/>
      <c r="F266" s="2" t="s">
        <v>452</v>
      </c>
      <c r="G266" s="42" t="s">
        <v>27</v>
      </c>
      <c r="H266" s="3">
        <f>DASHBOARD!$D$39</f>
        <v>30</v>
      </c>
      <c r="I266" s="354">
        <v>2.4316109400000001</v>
      </c>
      <c r="J266" s="11">
        <v>1</v>
      </c>
      <c r="K266" s="11">
        <f>D218*E252*F260*I266*J266</f>
        <v>0</v>
      </c>
      <c r="L266" s="4">
        <f t="shared" si="22"/>
        <v>72.948328200000006</v>
      </c>
      <c r="M266" s="1" t="s">
        <v>49</v>
      </c>
      <c r="N266" s="87" t="s">
        <v>115</v>
      </c>
    </row>
    <row r="267" spans="2:14" ht="16.350000000000001" customHeight="1">
      <c r="B267" s="23"/>
      <c r="D267" s="140"/>
      <c r="F267" s="2" t="s">
        <v>453</v>
      </c>
      <c r="G267" s="66" t="s">
        <v>27</v>
      </c>
      <c r="H267" s="3">
        <f>DASHBOARD!$D$39</f>
        <v>30</v>
      </c>
      <c r="I267" s="11">
        <f>(DASHBOARD!$D$153*100)/60*(8/7)</f>
        <v>9.5238095238095237</v>
      </c>
      <c r="J267" s="11">
        <v>1</v>
      </c>
      <c r="K267" s="11">
        <f>D218*E252*F260*I267*J267</f>
        <v>0</v>
      </c>
      <c r="L267" s="4">
        <f t="shared" si="22"/>
        <v>285.71428571428572</v>
      </c>
      <c r="M267" s="27" t="s">
        <v>171</v>
      </c>
      <c r="N267" s="87" t="s">
        <v>115</v>
      </c>
    </row>
    <row r="268" spans="2:14" ht="16.350000000000001" customHeight="1">
      <c r="B268" s="23"/>
      <c r="D268" s="140"/>
      <c r="G268" s="1" t="s">
        <v>41</v>
      </c>
      <c r="H268" s="3">
        <f>DASHBOARD!$D$57</f>
        <v>3.95</v>
      </c>
      <c r="I268" s="11">
        <v>1</v>
      </c>
      <c r="J268" s="55">
        <f>2*SUM(I265:I267)/8</f>
        <v>4.4174265434523807</v>
      </c>
      <c r="K268" s="55"/>
      <c r="L268" s="4">
        <f t="shared" si="22"/>
        <v>17.448834846636906</v>
      </c>
      <c r="M268" s="1" t="s">
        <v>139</v>
      </c>
      <c r="N268" s="87" t="s">
        <v>117</v>
      </c>
    </row>
    <row r="269" spans="2:14" ht="16.350000000000001" customHeight="1">
      <c r="B269" s="23"/>
      <c r="D269" s="140"/>
      <c r="G269" s="1" t="s">
        <v>9</v>
      </c>
      <c r="H269" s="3">
        <f>DASHBOARD!$D$58</f>
        <v>13.95</v>
      </c>
      <c r="I269" s="11">
        <v>1</v>
      </c>
      <c r="J269" s="55">
        <f>2*SUM(I265:I267)/8</f>
        <v>4.4174265434523807</v>
      </c>
      <c r="K269" s="55"/>
      <c r="L269" s="4">
        <f t="shared" si="22"/>
        <v>61.62310028116071</v>
      </c>
      <c r="M269" s="1" t="s">
        <v>139</v>
      </c>
      <c r="N269" s="87" t="s">
        <v>118</v>
      </c>
    </row>
    <row r="270" spans="2:14" ht="16.350000000000001" customHeight="1">
      <c r="B270" s="23"/>
      <c r="D270" s="140"/>
      <c r="G270" s="1" t="s">
        <v>16</v>
      </c>
      <c r="H270" s="3">
        <f>DASHBOARD!$D$59</f>
        <v>0.23960000000000001</v>
      </c>
      <c r="I270" s="11">
        <v>1</v>
      </c>
      <c r="J270" s="55">
        <f>ROUNDUP(I260/8,0)+(ROUNDUP(I265/8,0)+ROUNDUP(I266/8,0)+ROUNDUP(I267/8,0))*(100/DASHBOARD!$D$121)</f>
        <v>9.5106382978723403</v>
      </c>
      <c r="K270" s="55"/>
      <c r="L270" s="4">
        <f t="shared" si="22"/>
        <v>2.2787489361702127</v>
      </c>
      <c r="M270" s="1" t="s">
        <v>140</v>
      </c>
      <c r="N270" s="87" t="s">
        <v>119</v>
      </c>
    </row>
    <row r="271" spans="2:14" ht="16.350000000000001" customHeight="1">
      <c r="B271" s="23"/>
      <c r="D271" s="140"/>
      <c r="G271" s="1" t="s">
        <v>10</v>
      </c>
      <c r="H271" s="3">
        <f>DASHBOARD!$D$60</f>
        <v>1.7004999999999999</v>
      </c>
      <c r="I271" s="11">
        <v>1</v>
      </c>
      <c r="J271" s="55">
        <f>2*SUM(I265:I267)/8</f>
        <v>4.4174265434523807</v>
      </c>
      <c r="K271" s="55"/>
      <c r="L271" s="4">
        <f t="shared" si="22"/>
        <v>7.5118338371407729</v>
      </c>
      <c r="M271" s="1" t="s">
        <v>139</v>
      </c>
      <c r="N271" s="87" t="s">
        <v>119</v>
      </c>
    </row>
    <row r="272" spans="2:14" ht="16.350000000000001" customHeight="1">
      <c r="B272" s="23"/>
      <c r="D272" s="140"/>
      <c r="G272" s="1" t="s">
        <v>28</v>
      </c>
      <c r="H272" s="3">
        <f>DASHBOARD!$D$75</f>
        <v>12.16</v>
      </c>
      <c r="I272" s="11">
        <v>1</v>
      </c>
      <c r="J272" s="11">
        <v>100</v>
      </c>
      <c r="K272" s="11"/>
      <c r="L272" s="4">
        <f t="shared" si="22"/>
        <v>1216</v>
      </c>
      <c r="N272" s="87" t="s">
        <v>141</v>
      </c>
    </row>
    <row r="273" spans="2:14" ht="16.350000000000001" customHeight="1">
      <c r="B273" s="23"/>
      <c r="D273" s="140"/>
      <c r="G273" s="1" t="s">
        <v>29</v>
      </c>
      <c r="H273" s="3">
        <f>DASHBOARD!$D$76</f>
        <v>0.72</v>
      </c>
      <c r="I273" s="11">
        <v>1</v>
      </c>
      <c r="J273" s="11">
        <v>100</v>
      </c>
      <c r="K273" s="11"/>
      <c r="L273" s="4">
        <f t="shared" si="22"/>
        <v>72</v>
      </c>
      <c r="N273" s="87" t="s">
        <v>142</v>
      </c>
    </row>
    <row r="274" spans="2:14" ht="21" customHeight="1">
      <c r="B274" s="23"/>
      <c r="C274" s="26">
        <f>C218</f>
        <v>1907</v>
      </c>
      <c r="D274" s="244">
        <f>(DASHBOARD!$D$112)*DASHBOARD!$D$139</f>
        <v>0</v>
      </c>
      <c r="E274" s="21" t="s">
        <v>413</v>
      </c>
      <c r="F274" s="2">
        <v>1</v>
      </c>
      <c r="G274" s="42" t="s">
        <v>14</v>
      </c>
      <c r="H274" s="3">
        <f>DASHBOARD!$D$35</f>
        <v>24.612000000000002</v>
      </c>
      <c r="I274" s="11">
        <f>DASHBOARD!$D$150*(100/60)*(8/7)</f>
        <v>7.6190476190476186</v>
      </c>
      <c r="J274" s="11">
        <v>1</v>
      </c>
      <c r="K274" s="11">
        <f>D274*I274*J274</f>
        <v>0</v>
      </c>
      <c r="L274" s="4">
        <f>H274*I274*J274*D274</f>
        <v>0</v>
      </c>
      <c r="M274" s="1" t="s">
        <v>50</v>
      </c>
      <c r="N274" s="87" t="s">
        <v>133</v>
      </c>
    </row>
    <row r="275" spans="2:14">
      <c r="B275" s="23"/>
      <c r="D275" s="193" t="s">
        <v>380</v>
      </c>
      <c r="F275" s="133" t="s">
        <v>406</v>
      </c>
      <c r="G275" s="42" t="s">
        <v>31</v>
      </c>
      <c r="H275" s="3">
        <f>DASHBOARD!$D$44</f>
        <v>48</v>
      </c>
      <c r="I275" s="11">
        <f>SUM(I279:I281)*(1/100)</f>
        <v>1.8285714285714287E-2</v>
      </c>
      <c r="J275" s="11">
        <v>1</v>
      </c>
      <c r="K275" s="11">
        <f>D274*I275*J275</f>
        <v>0</v>
      </c>
      <c r="L275" s="4">
        <f>H275*I275*J275*D274</f>
        <v>0</v>
      </c>
      <c r="M275" s="1" t="s">
        <v>136</v>
      </c>
      <c r="N275" s="87" t="s">
        <v>115</v>
      </c>
    </row>
    <row r="276" spans="2:14">
      <c r="B276" s="23"/>
      <c r="D276" s="244"/>
      <c r="F276" s="133" t="s">
        <v>403</v>
      </c>
      <c r="G276" s="42" t="s">
        <v>32</v>
      </c>
      <c r="H276" s="3">
        <f>DASHBOARD!$D$49</f>
        <v>58.847999999999999</v>
      </c>
      <c r="I276" s="11">
        <f>SUM(I279:I281)*(1/10)</f>
        <v>0.18285714285714288</v>
      </c>
      <c r="J276" s="11">
        <v>1</v>
      </c>
      <c r="K276" s="11">
        <f>D274*I276*J276</f>
        <v>0</v>
      </c>
      <c r="L276" s="4">
        <f>H276*I276*J276*D274</f>
        <v>0</v>
      </c>
      <c r="M276" s="1" t="s">
        <v>137</v>
      </c>
      <c r="N276" s="87" t="s">
        <v>134</v>
      </c>
    </row>
    <row r="277" spans="2:14">
      <c r="B277" s="23"/>
      <c r="D277" s="244"/>
      <c r="F277" s="133" t="s">
        <v>404</v>
      </c>
      <c r="G277" s="42" t="s">
        <v>33</v>
      </c>
      <c r="H277" s="3">
        <f>DASHBOARD!$D$50</f>
        <v>39</v>
      </c>
      <c r="I277" s="11">
        <f>SUM(I279:I281)*(1/33)</f>
        <v>5.5411255411255418E-2</v>
      </c>
      <c r="J277" s="11">
        <v>1</v>
      </c>
      <c r="K277" s="11">
        <f>D274*I277*J277</f>
        <v>0</v>
      </c>
      <c r="L277" s="4">
        <f>H277*I277*J277*D274</f>
        <v>0</v>
      </c>
      <c r="M277" s="1" t="s">
        <v>138</v>
      </c>
      <c r="N277" s="87" t="s">
        <v>115</v>
      </c>
    </row>
    <row r="278" spans="2:14">
      <c r="B278" s="23"/>
      <c r="D278" s="244"/>
      <c r="F278" s="133" t="s">
        <v>405</v>
      </c>
      <c r="G278" s="42" t="s">
        <v>34</v>
      </c>
      <c r="H278" s="3">
        <f>DASHBOARD!$D$51</f>
        <v>43.199999999999996</v>
      </c>
      <c r="I278" s="11">
        <f>SUM(I279:I281)*(1/100)</f>
        <v>1.8285714285714287E-2</v>
      </c>
      <c r="J278" s="11">
        <v>1</v>
      </c>
      <c r="K278" s="11">
        <f>D274*I278*J278</f>
        <v>0</v>
      </c>
      <c r="L278" s="4">
        <f>H278*I278*J278*D274</f>
        <v>0</v>
      </c>
      <c r="M278" s="1" t="s">
        <v>136</v>
      </c>
      <c r="N278" s="87" t="s">
        <v>135</v>
      </c>
    </row>
    <row r="279" spans="2:14">
      <c r="B279" s="23"/>
      <c r="D279" s="244"/>
      <c r="F279" s="2" t="s">
        <v>451</v>
      </c>
      <c r="G279" s="42" t="s">
        <v>27</v>
      </c>
      <c r="H279" s="3">
        <f>DASHBOARD!$D$39</f>
        <v>30</v>
      </c>
      <c r="I279" s="11">
        <f>DASHBOARD!$D$117*(100/60)*(8/7)</f>
        <v>0.38095238095238099</v>
      </c>
      <c r="J279" s="11">
        <v>1</v>
      </c>
      <c r="K279" s="11">
        <f>D274*I279*J279</f>
        <v>0</v>
      </c>
      <c r="L279" s="4">
        <f>H279*I279*J279*D274</f>
        <v>0</v>
      </c>
      <c r="M279" s="1" t="s">
        <v>461</v>
      </c>
      <c r="N279" s="88" t="s">
        <v>463</v>
      </c>
    </row>
    <row r="280" spans="2:14" ht="15" customHeight="1">
      <c r="B280" s="23"/>
      <c r="D280" s="244"/>
      <c r="F280" s="2" t="s">
        <v>405</v>
      </c>
      <c r="G280" s="42" t="s">
        <v>27</v>
      </c>
      <c r="H280" s="3">
        <f>DASHBOARD!$D$39</f>
        <v>30</v>
      </c>
      <c r="I280" s="11">
        <f>DASHBOARD!$D$118*(100/60)*(8/7)</f>
        <v>0.59523809523809523</v>
      </c>
      <c r="J280" s="11">
        <v>1</v>
      </c>
      <c r="K280" s="11">
        <f>D274*I280*J280</f>
        <v>0</v>
      </c>
      <c r="L280" s="4">
        <f>H280*I280*J280*D274</f>
        <v>0</v>
      </c>
      <c r="M280" s="72" t="s">
        <v>462</v>
      </c>
      <c r="N280" s="88" t="s">
        <v>464</v>
      </c>
    </row>
    <row r="281" spans="2:14">
      <c r="B281" s="23"/>
      <c r="D281" s="244"/>
      <c r="F281" s="2" t="s">
        <v>453</v>
      </c>
      <c r="G281" s="66" t="s">
        <v>27</v>
      </c>
      <c r="H281" s="3">
        <f>DASHBOARD!$D$39</f>
        <v>30</v>
      </c>
      <c r="I281" s="11">
        <f>DASHBOARD!$D$119*(100/60)*(8/7)</f>
        <v>0.85238095238095235</v>
      </c>
      <c r="J281" s="11">
        <v>1</v>
      </c>
      <c r="K281" s="11">
        <f>D274*I281*J281</f>
        <v>0</v>
      </c>
      <c r="L281" s="4">
        <f>H281*I281*J281*D274</f>
        <v>0</v>
      </c>
      <c r="M281" s="160" t="s">
        <v>402</v>
      </c>
      <c r="N281" s="87" t="s">
        <v>115</v>
      </c>
    </row>
    <row r="282" spans="2:14">
      <c r="B282" s="23"/>
      <c r="D282" s="244"/>
      <c r="G282" s="1" t="s">
        <v>41</v>
      </c>
      <c r="H282" s="3">
        <f>DASHBOARD!$D$57</f>
        <v>3.95</v>
      </c>
      <c r="I282" s="11">
        <v>1</v>
      </c>
      <c r="J282" s="55">
        <f>2*SUM(I279:I281)/8</f>
        <v>0.45714285714285718</v>
      </c>
      <c r="K282" s="11"/>
      <c r="L282" s="4">
        <f>H282*I282*J282*D274</f>
        <v>0</v>
      </c>
      <c r="M282" s="1" t="s">
        <v>139</v>
      </c>
      <c r="N282" s="87" t="s">
        <v>117</v>
      </c>
    </row>
    <row r="283" spans="2:14">
      <c r="B283" s="23"/>
      <c r="D283" s="244"/>
      <c r="G283" s="1" t="s">
        <v>9</v>
      </c>
      <c r="H283" s="3">
        <f>DASHBOARD!$D$58</f>
        <v>13.95</v>
      </c>
      <c r="I283" s="11">
        <v>1</v>
      </c>
      <c r="J283" s="55">
        <f>2*SUM(I279:I281)/8</f>
        <v>0.45714285714285718</v>
      </c>
      <c r="K283" s="11"/>
      <c r="L283" s="4">
        <f>H283*I283*J283*D274</f>
        <v>0</v>
      </c>
      <c r="M283" s="1" t="s">
        <v>139</v>
      </c>
      <c r="N283" s="87" t="s">
        <v>118</v>
      </c>
    </row>
    <row r="284" spans="2:14">
      <c r="B284" s="23"/>
      <c r="D284" s="244"/>
      <c r="G284" s="1" t="s">
        <v>16</v>
      </c>
      <c r="H284" s="3">
        <f>DASHBOARD!$D$59</f>
        <v>0.23960000000000001</v>
      </c>
      <c r="I284" s="11">
        <v>1</v>
      </c>
      <c r="J284" s="55">
        <f>ROUNDUP(I274/8,0)+(ROUNDUP(I279/8,0)+ROUNDUP(I280/8,0)+ROUNDUP(I281/8,0))*(100/DASHBOARD!$D$121)</f>
        <v>7.3829787234042552</v>
      </c>
      <c r="K284" s="11"/>
      <c r="L284" s="4">
        <f>H284*I284*J284*D274</f>
        <v>0</v>
      </c>
      <c r="M284" s="1" t="s">
        <v>140</v>
      </c>
      <c r="N284" s="87" t="s">
        <v>119</v>
      </c>
    </row>
    <row r="285" spans="2:14">
      <c r="B285" s="23"/>
      <c r="D285" s="244"/>
      <c r="G285" s="1" t="s">
        <v>10</v>
      </c>
      <c r="H285" s="3">
        <f>DASHBOARD!$D$60</f>
        <v>1.7004999999999999</v>
      </c>
      <c r="I285" s="11">
        <v>1</v>
      </c>
      <c r="J285" s="55">
        <f>2*SUM(I279:I281)/8</f>
        <v>0.45714285714285718</v>
      </c>
      <c r="K285" s="11"/>
      <c r="L285" s="4">
        <f>H285*I285*J285*D274</f>
        <v>0</v>
      </c>
      <c r="M285" s="1" t="s">
        <v>139</v>
      </c>
      <c r="N285" s="87" t="s">
        <v>119</v>
      </c>
    </row>
    <row r="286" spans="2:14">
      <c r="B286" s="23"/>
      <c r="D286" s="244"/>
      <c r="G286" s="1" t="s">
        <v>414</v>
      </c>
      <c r="H286" s="3">
        <f>DASHBOARD!$D$74</f>
        <v>20</v>
      </c>
      <c r="I286" s="11">
        <v>1</v>
      </c>
      <c r="J286" s="11">
        <v>100</v>
      </c>
      <c r="K286" s="11"/>
      <c r="L286" s="4">
        <f>H286*I286*J286*D274</f>
        <v>0</v>
      </c>
      <c r="M286" s="1" t="s">
        <v>415</v>
      </c>
      <c r="N286" s="87" t="s">
        <v>141</v>
      </c>
    </row>
    <row r="287" spans="2:14" ht="21" customHeight="1" thickBot="1">
      <c r="B287" s="9" t="s">
        <v>7</v>
      </c>
      <c r="C287" s="10"/>
      <c r="D287" s="14"/>
      <c r="E287" s="20"/>
      <c r="F287" s="14"/>
      <c r="G287" s="10"/>
      <c r="H287" s="549" t="s">
        <v>81</v>
      </c>
      <c r="I287" s="549"/>
      <c r="J287" s="549"/>
      <c r="K287" s="242"/>
      <c r="L287" s="70">
        <f>(D190*F190*SUM(L190:L203))+(D190*F204*SUM(L204:L217))+(D218*E224*F218*SUM(L218:L231))+(D218*E224*F232*SUM(L232:L245))+(D218*E252*F246*SUM(L246:L259))+(D218*E252*F260*SUM(L260:L273))+SUM(L274:L286)</f>
        <v>1992.5999980027416</v>
      </c>
      <c r="M287" s="69" t="str">
        <f>"Per Person Cost is "&amp;ROUND(L287/100,2)&amp;" and the cost per "&amp;$C$4&amp;" people is "&amp;ROUND(L287/100*$C$4,2)</f>
        <v>Per Person Cost is 19.93 and the cost per 1907 people is 37998.88</v>
      </c>
    </row>
    <row r="288" spans="2:14" ht="22.35" customHeight="1">
      <c r="B288" s="24" t="s">
        <v>26</v>
      </c>
      <c r="C288" s="26">
        <f>C4</f>
        <v>1907</v>
      </c>
      <c r="D288" s="2">
        <f>1*DASHBOARD!$D$139</f>
        <v>1</v>
      </c>
      <c r="E288" s="21" t="s">
        <v>51</v>
      </c>
      <c r="F288" s="2">
        <f>1-C7</f>
        <v>0.98909453153672733</v>
      </c>
      <c r="G288" s="42" t="s">
        <v>14</v>
      </c>
      <c r="H288" s="3">
        <f>DASHBOARD!D35</f>
        <v>24.612000000000002</v>
      </c>
      <c r="I288" s="32">
        <f>(DASHBOARD!$D$155*100/60)*(8/7)*DASHBOARD!$D$131</f>
        <v>1.9047619047619047</v>
      </c>
      <c r="J288" s="1">
        <f>1</f>
        <v>1</v>
      </c>
      <c r="K288" s="1">
        <f>$F$288*I288*J288</f>
        <v>1.8839895838794805</v>
      </c>
      <c r="L288" s="4">
        <f>H288*I288*J288</f>
        <v>46.88</v>
      </c>
      <c r="M288" s="1" t="s">
        <v>79</v>
      </c>
      <c r="N288" s="87" t="s">
        <v>133</v>
      </c>
    </row>
    <row r="289" spans="2:14" ht="39" customHeight="1">
      <c r="B289" s="24"/>
      <c r="C289" s="26"/>
      <c r="F289" s="2" t="s">
        <v>457</v>
      </c>
      <c r="G289" s="42" t="s">
        <v>17</v>
      </c>
      <c r="H289" s="3">
        <f>DASHBOARD!D36</f>
        <v>45.12</v>
      </c>
      <c r="I289" s="32">
        <f>I288/5</f>
        <v>0.38095238095238093</v>
      </c>
      <c r="J289" s="1">
        <f>1</f>
        <v>1</v>
      </c>
      <c r="K289" s="1">
        <f>$F$288*I289*J289</f>
        <v>0.37679791677589608</v>
      </c>
      <c r="L289" s="4">
        <f>H289*I289*J289</f>
        <v>17.188571428571425</v>
      </c>
      <c r="N289" s="87" t="s">
        <v>112</v>
      </c>
    </row>
    <row r="290" spans="2:14">
      <c r="B290" s="24"/>
      <c r="F290" s="2">
        <f>C7</f>
        <v>1.0905468463272689E-2</v>
      </c>
      <c r="G290" s="42" t="s">
        <v>17</v>
      </c>
      <c r="H290" s="3">
        <f>DASHBOARD!D36</f>
        <v>45.12</v>
      </c>
      <c r="I290" s="32">
        <v>8</v>
      </c>
      <c r="J290" s="1">
        <f>(DASHBOARD!$D$156*100/480)*(8/7)</f>
        <v>2.3809523809523809</v>
      </c>
      <c r="K290" s="1">
        <f>F290*I290*J290</f>
        <v>0.2077232088242417</v>
      </c>
      <c r="L290" s="4">
        <f>H290*I290*J290</f>
        <v>859.42857142857133</v>
      </c>
      <c r="M290" s="1" t="s">
        <v>55</v>
      </c>
      <c r="N290" s="87" t="s">
        <v>112</v>
      </c>
    </row>
    <row r="291" spans="2:14" ht="16.350000000000001" customHeight="1" thickBot="1">
      <c r="B291" s="9" t="s">
        <v>7</v>
      </c>
      <c r="C291" s="10"/>
      <c r="D291" s="14"/>
      <c r="E291" s="20"/>
      <c r="F291" s="14"/>
      <c r="G291" s="10"/>
      <c r="H291" s="549" t="s">
        <v>81</v>
      </c>
      <c r="I291" s="549"/>
      <c r="J291" s="549"/>
      <c r="K291" s="242"/>
      <c r="L291" s="70">
        <f>((C288*D288*F288*SUM(L288:L289))+(C288*D288*F290*L290))/100/C288*100</f>
        <v>72.742344825520007</v>
      </c>
      <c r="M291" s="69" t="str">
        <f>"Per Person Cost is "&amp;ROUND(L291/100,2)&amp;" and the cost per "&amp;$C$4&amp;" people is "&amp;ROUND(L291/100*$C$4,2)</f>
        <v>Per Person Cost is 0.73 and the cost per 1907 people is 1387.2</v>
      </c>
    </row>
    <row r="292" spans="2:14">
      <c r="B292" s="25" t="s">
        <v>173</v>
      </c>
      <c r="C292" s="26">
        <f>C4</f>
        <v>1907</v>
      </c>
      <c r="D292" s="2">
        <f>1*DASHBOARD!$D$139</f>
        <v>1</v>
      </c>
      <c r="E292" s="21" t="s">
        <v>52</v>
      </c>
      <c r="F292" s="2">
        <f>1-C7</f>
        <v>0.98909453153672733</v>
      </c>
      <c r="G292" s="1" t="s">
        <v>30</v>
      </c>
      <c r="H292" s="3">
        <v>0</v>
      </c>
      <c r="I292" s="32">
        <v>0</v>
      </c>
      <c r="J292" s="1">
        <v>0</v>
      </c>
      <c r="K292" s="1">
        <f>F292*I292*J292</f>
        <v>0</v>
      </c>
      <c r="L292" s="4">
        <f>H292*I292*J292</f>
        <v>0</v>
      </c>
    </row>
    <row r="293" spans="2:14" ht="51.75" customHeight="1">
      <c r="B293" s="25"/>
      <c r="D293" s="137">
        <f>DASHBOARD!$D$137</f>
        <v>0</v>
      </c>
      <c r="F293" s="2">
        <f>C7</f>
        <v>1.0905468463272689E-2</v>
      </c>
      <c r="G293" s="42" t="s">
        <v>17</v>
      </c>
      <c r="H293" s="3">
        <f>DASHBOARD!D36</f>
        <v>45.12</v>
      </c>
      <c r="I293" s="32">
        <f>8*DASHBOARD!$D$133</f>
        <v>8</v>
      </c>
      <c r="J293" s="1">
        <f>DASHBOARD!$D$158*100/480</f>
        <v>12.5</v>
      </c>
      <c r="K293" s="1">
        <f>$F$293*I293*J293</f>
        <v>1.0905468463272689</v>
      </c>
      <c r="L293" s="4">
        <f>H293*I293*J293</f>
        <v>4512</v>
      </c>
      <c r="M293" s="1" t="s">
        <v>298</v>
      </c>
      <c r="N293" s="87" t="s">
        <v>112</v>
      </c>
    </row>
    <row r="294" spans="2:14" ht="81" customHeight="1">
      <c r="B294" s="25"/>
      <c r="D294" s="254" t="s">
        <v>496</v>
      </c>
      <c r="G294" s="42" t="s">
        <v>14</v>
      </c>
      <c r="H294" s="3">
        <f>DASHBOARD!D35</f>
        <v>24.612000000000002</v>
      </c>
      <c r="I294" s="32">
        <f>8*DASHBOARD!$D$133</f>
        <v>8</v>
      </c>
      <c r="J294" s="1">
        <f>(DASHBOARD!$D$159*100/480)*DASHBOARD!D104/DASHBOARD!D104</f>
        <v>7.1399999999999988</v>
      </c>
      <c r="K294" s="1">
        <f t="shared" ref="K294:K299" si="23">$F$293*I294*J294</f>
        <v>0.62292035862213591</v>
      </c>
      <c r="L294" s="4">
        <f>H294*I294*J294</f>
        <v>1405.8374399999998</v>
      </c>
      <c r="M294" s="1" t="s">
        <v>299</v>
      </c>
      <c r="N294" s="87"/>
    </row>
    <row r="295" spans="2:14" ht="32.25" customHeight="1">
      <c r="B295" s="25"/>
      <c r="F295" s="2" t="s">
        <v>454</v>
      </c>
      <c r="G295" s="132" t="s">
        <v>450</v>
      </c>
      <c r="H295" s="3">
        <f>DASHBOARD!$D$52</f>
        <v>48</v>
      </c>
      <c r="I295" s="32">
        <v>8</v>
      </c>
      <c r="J295" s="11">
        <f>SUM(J293:J294)/5.5</f>
        <v>3.5709090909090908</v>
      </c>
      <c r="K295" s="1">
        <f t="shared" si="23"/>
        <v>0.31153949180898272</v>
      </c>
      <c r="L295" s="4">
        <f>H295*I295*J295</f>
        <v>1371.2290909090909</v>
      </c>
      <c r="M295" s="1" t="s">
        <v>300</v>
      </c>
      <c r="N295" s="87"/>
    </row>
    <row r="296" spans="2:14" ht="41.25" customHeight="1">
      <c r="B296" s="25"/>
      <c r="F296" s="2" t="s">
        <v>455</v>
      </c>
      <c r="G296" s="132" t="s">
        <v>180</v>
      </c>
      <c r="H296" s="3">
        <f>DASHBOARD!$D$53</f>
        <v>121.78799999999998</v>
      </c>
      <c r="I296" s="32">
        <v>8</v>
      </c>
      <c r="J296" s="11">
        <f>SUM(J293:J294)/27.5</f>
        <v>0.71418181818181825</v>
      </c>
      <c r="K296" s="1">
        <f t="shared" si="23"/>
        <v>6.2307898361796552E-2</v>
      </c>
      <c r="L296" s="4">
        <f t="shared" ref="L296:L299" si="24">H296*I296*J296</f>
        <v>695.83020218181809</v>
      </c>
      <c r="M296" s="1" t="s">
        <v>301</v>
      </c>
      <c r="N296" s="87"/>
    </row>
    <row r="297" spans="2:14" ht="36.75" customHeight="1">
      <c r="B297" s="25"/>
      <c r="F297" s="2" t="s">
        <v>455</v>
      </c>
      <c r="G297" s="132" t="s">
        <v>40</v>
      </c>
      <c r="H297" s="3">
        <f>DASHBOARD!$D$45</f>
        <v>54.804000000000002</v>
      </c>
      <c r="I297" s="1">
        <v>8</v>
      </c>
      <c r="J297" s="11">
        <f>SUM(J293:J294)/27.5</f>
        <v>0.71418181818181825</v>
      </c>
      <c r="K297" s="1">
        <f t="shared" si="23"/>
        <v>6.2307898361796552E-2</v>
      </c>
      <c r="L297" s="4">
        <f t="shared" si="24"/>
        <v>313.12016290909094</v>
      </c>
      <c r="M297" s="1" t="s">
        <v>302</v>
      </c>
      <c r="N297" s="87" t="s">
        <v>112</v>
      </c>
    </row>
    <row r="298" spans="2:14" ht="32.25" customHeight="1">
      <c r="B298" s="25"/>
      <c r="G298" s="132" t="s">
        <v>353</v>
      </c>
      <c r="H298" s="3">
        <f>DASHBOARD!$D$54</f>
        <v>60</v>
      </c>
      <c r="I298" s="1">
        <v>8</v>
      </c>
      <c r="J298" s="11">
        <f>SUM(J293:J294)/9.167*DASHBOARD!$D$130</f>
        <v>2.1424675466346681</v>
      </c>
      <c r="K298" s="1">
        <f t="shared" si="23"/>
        <v>0.18691689810727666</v>
      </c>
      <c r="L298" s="4">
        <f t="shared" si="24"/>
        <v>1028.3844223846406</v>
      </c>
      <c r="M298" s="1" t="s">
        <v>305</v>
      </c>
      <c r="N298" s="87"/>
    </row>
    <row r="299" spans="2:14">
      <c r="B299" s="25"/>
      <c r="F299" s="2" t="s">
        <v>456</v>
      </c>
      <c r="G299" s="42" t="s">
        <v>14</v>
      </c>
      <c r="H299" s="3">
        <f>DASHBOARD!$D$35</f>
        <v>24.612000000000002</v>
      </c>
      <c r="I299" s="32">
        <v>8</v>
      </c>
      <c r="J299" s="11">
        <f>SUM(J293:J294)/2.2*DASHBOARD!$D$129</f>
        <v>8.9272727272727277</v>
      </c>
      <c r="K299" s="1">
        <f t="shared" si="23"/>
        <v>0.77884872952245676</v>
      </c>
      <c r="L299" s="4">
        <f t="shared" si="24"/>
        <v>1757.7442909090912</v>
      </c>
      <c r="M299" s="1" t="s">
        <v>306</v>
      </c>
      <c r="N299" s="87"/>
    </row>
    <row r="300" spans="2:14" ht="31.5">
      <c r="B300" s="25"/>
      <c r="G300" s="42" t="s">
        <v>343</v>
      </c>
      <c r="J300" s="11"/>
      <c r="K300" s="11"/>
      <c r="L300" s="4">
        <f>(L287+L291+L174+L189)*2*D293</f>
        <v>0</v>
      </c>
      <c r="M300" s="1" t="s">
        <v>344</v>
      </c>
      <c r="N300" s="87"/>
    </row>
    <row r="301" spans="2:14" ht="23.1" customHeight="1" thickBot="1">
      <c r="B301" s="9" t="s">
        <v>7</v>
      </c>
      <c r="C301" s="10"/>
      <c r="D301" s="14"/>
      <c r="E301" s="20"/>
      <c r="F301" s="14"/>
      <c r="G301" s="10"/>
      <c r="H301" s="549" t="s">
        <v>81</v>
      </c>
      <c r="I301" s="549"/>
      <c r="J301" s="549"/>
      <c r="K301" s="242"/>
      <c r="L301" s="70">
        <f>((C292*D292*F292*L292)+(C292*D292*F293*SUM(L293:L300)))/100/C292*100</f>
        <v>120.87780038447522</v>
      </c>
      <c r="M301" s="69" t="str">
        <f>"Per Person Cost is "&amp;ROUND(L301/100,2)&amp;" and the cost per "&amp;$C$4&amp;" people is "&amp;ROUND(L301/100*$C$4,2)</f>
        <v>Per Person Cost is 1.21 and the cost per 1907 people is 2305.14</v>
      </c>
    </row>
    <row r="302" spans="2:14" ht="19.5" thickBot="1">
      <c r="B302" s="62" t="s">
        <v>53</v>
      </c>
      <c r="C302" s="63">
        <v>100</v>
      </c>
      <c r="D302" s="64" t="s">
        <v>54</v>
      </c>
      <c r="E302" s="59"/>
      <c r="F302" s="58"/>
      <c r="G302" s="57"/>
      <c r="H302" s="60"/>
      <c r="I302" s="61"/>
      <c r="J302" s="57"/>
      <c r="K302" s="57"/>
      <c r="L302" s="65">
        <f>SUM(L15,L174,L189,L287,L291,L301)</f>
        <v>5992.7234153867712</v>
      </c>
      <c r="M302" s="69" t="str">
        <f>"Per Person Cost is "&amp;ROUND(L302/100,2)&amp;" and the cost per "&amp;$C$4&amp;" people is "&amp;ROUND(L302/100*$C$4,2)</f>
        <v>Per Person Cost is 59.93 and the cost per 1907 people is 114281.24</v>
      </c>
    </row>
    <row r="304" spans="2:14">
      <c r="M304" s="1">
        <f>6*20</f>
        <v>120</v>
      </c>
    </row>
    <row r="305" spans="2:3" ht="21">
      <c r="B305" s="550" t="s">
        <v>56</v>
      </c>
      <c r="C305" s="550"/>
    </row>
    <row r="306" spans="2:3">
      <c r="B306" s="68" t="s">
        <v>57</v>
      </c>
      <c r="C306" s="68" t="s">
        <v>58</v>
      </c>
    </row>
    <row r="307" spans="2:3">
      <c r="B307" s="68"/>
      <c r="C307" s="68" t="s">
        <v>59</v>
      </c>
    </row>
    <row r="308" spans="2:3">
      <c r="B308" s="68"/>
      <c r="C308" s="68" t="s">
        <v>61</v>
      </c>
    </row>
    <row r="309" spans="2:3" ht="31.5">
      <c r="B309" s="68" t="s">
        <v>60</v>
      </c>
      <c r="C309" s="68" t="s">
        <v>62</v>
      </c>
    </row>
    <row r="310" spans="2:3" ht="31.5">
      <c r="B310" s="68"/>
      <c r="C310" s="68" t="s">
        <v>63</v>
      </c>
    </row>
    <row r="311" spans="2:3">
      <c r="B311" s="68"/>
      <c r="C311" s="68" t="s">
        <v>58</v>
      </c>
    </row>
    <row r="312" spans="2:3">
      <c r="B312" s="68"/>
      <c r="C312" s="68" t="s">
        <v>64</v>
      </c>
    </row>
    <row r="313" spans="2:3">
      <c r="B313" s="68"/>
      <c r="C313" s="68" t="s">
        <v>73</v>
      </c>
    </row>
    <row r="314" spans="2:3">
      <c r="B314" s="68" t="s">
        <v>65</v>
      </c>
      <c r="C314" s="68" t="s">
        <v>66</v>
      </c>
    </row>
    <row r="315" spans="2:3">
      <c r="B315" s="68"/>
      <c r="C315" s="68" t="s">
        <v>67</v>
      </c>
    </row>
    <row r="316" spans="2:3" ht="31.5">
      <c r="B316" s="68" t="s">
        <v>68</v>
      </c>
      <c r="C316" s="68" t="s">
        <v>69</v>
      </c>
    </row>
    <row r="317" spans="2:3">
      <c r="B317" s="68"/>
      <c r="C317" s="68" t="s">
        <v>70</v>
      </c>
    </row>
    <row r="318" spans="2:3">
      <c r="B318" s="68" t="s">
        <v>71</v>
      </c>
      <c r="C318" s="68" t="s">
        <v>61</v>
      </c>
    </row>
    <row r="319" spans="2:3">
      <c r="B319" s="68"/>
      <c r="C319" s="68" t="s">
        <v>58</v>
      </c>
    </row>
    <row r="320" spans="2:3">
      <c r="B320" s="68" t="s">
        <v>72</v>
      </c>
      <c r="C320" s="68" t="s">
        <v>61</v>
      </c>
    </row>
    <row r="321" spans="2:3">
      <c r="B321" s="68"/>
      <c r="C321" s="68" t="s">
        <v>58</v>
      </c>
    </row>
  </sheetData>
  <sheetProtection algorithmName="SHA-512" hashValue="TvP77oFjGh3OlLyN9yEQO4N7IhiDlzptm44QZmR3+WjO14+xV/VSZgfx3r5xvOLVS1iAlw0vDMgOxlnoJps+dA==" saltValue="Qv01i8kMP5sKYPDtSiL0Sw==" spinCount="100000" sheet="1" objects="1" scenarios="1"/>
  <autoFilter ref="B11:N302" xr:uid="{35DBC219-7BD2-0B45-B6A1-D298555136C1}"/>
  <mergeCells count="8">
    <mergeCell ref="H301:J301"/>
    <mergeCell ref="B305:C305"/>
    <mergeCell ref="B2:D2"/>
    <mergeCell ref="H15:J15"/>
    <mergeCell ref="H174:J174"/>
    <mergeCell ref="H189:J189"/>
    <mergeCell ref="H287:J287"/>
    <mergeCell ref="H291:J291"/>
  </mergeCells>
  <hyperlinks>
    <hyperlink ref="N12" r:id="rId1" xr:uid="{A0B563D5-7D17-724B-B879-3665326078B6}"/>
    <hyperlink ref="N13" r:id="rId2" xr:uid="{FDC4E13A-E694-D043-9536-5379F594756A}"/>
    <hyperlink ref="N16" r:id="rId3" xr:uid="{FDD93F75-E188-C74F-BCAD-B7169B7C1101}"/>
    <hyperlink ref="N17" r:id="rId4" xr:uid="{DDD51229-F8BD-AB4F-AA3F-E1FBF79CD2EF}"/>
    <hyperlink ref="N18" r:id="rId5" xr:uid="{E47DDD83-35C9-244E-BA45-D1642952603A}"/>
    <hyperlink ref="N19" r:id="rId6" xr:uid="{5011E4E8-0BAD-D240-A162-8FEFB48DDEF0}"/>
    <hyperlink ref="N115" r:id="rId7" xr:uid="{05E1956B-AA76-7041-9400-A4A67FE511D8}"/>
    <hyperlink ref="N116" r:id="rId8" xr:uid="{C1CB2CCE-AE69-B444-BF26-E7390F52AC89}"/>
    <hyperlink ref="N117" r:id="rId9" xr:uid="{A70D916E-1F4A-2F42-AEF8-1CBB3FB29650}"/>
    <hyperlink ref="N125" r:id="rId10" xr:uid="{FE963184-10D3-9F4C-9A72-4FCA6F26CF5C}"/>
    <hyperlink ref="N118" r:id="rId11" xr:uid="{1495A7CB-A68C-2A4F-9AEA-8EB685E941F7}"/>
    <hyperlink ref="N119" r:id="rId12" xr:uid="{61E035C1-DB14-3145-8ADA-FBE8BC678FA1}"/>
    <hyperlink ref="N26" r:id="rId13" location="srp" xr:uid="{FE91BF6C-A56F-1445-AF36-7DF0ACED2847}"/>
    <hyperlink ref="N25" r:id="rId14" location="srp" xr:uid="{A667565E-346A-4341-BEF5-58AA56BE1DD6}"/>
    <hyperlink ref="N24" r:id="rId15" xr:uid="{8C450F54-E8C7-A844-BF84-CF9657B2EE12}"/>
    <hyperlink ref="N23" r:id="rId16" xr:uid="{AC4D225E-FA5A-CD45-87E4-390076CBA0F1}"/>
    <hyperlink ref="N22" r:id="rId17" xr:uid="{389F37A7-05F6-4648-B3B9-F3F147AE1FFA}"/>
    <hyperlink ref="N130" r:id="rId18" location="srp" xr:uid="{77C8F8E4-D16E-884A-8D54-C5F5250591BD}"/>
    <hyperlink ref="N129" r:id="rId19" location="srp" xr:uid="{0B49FCBA-95FA-084D-9662-F9043A853369}"/>
    <hyperlink ref="N128" r:id="rId20" xr:uid="{6D9948E2-48A6-2A4F-A962-BD7704B0A44F}"/>
    <hyperlink ref="N127" r:id="rId21" xr:uid="{5D00F6A4-482C-DA4F-B34B-7CD8A648AEF7}"/>
    <hyperlink ref="N126" r:id="rId22" xr:uid="{22994473-359B-DA49-AB8E-E8B164023068}"/>
    <hyperlink ref="N144" r:id="rId23" display="https://ciusss-centresudmtl.gouv.qc.ca/actualite/covid-19-ouverture-dune-clinique-de-depistage-sans-rendez-vous-pour-augmenter-le-nombre-de-depistages" xr:uid="{EAC24198-7A8E-584F-9473-33AE255BF9A5}"/>
    <hyperlink ref="N145" r:id="rId24" xr:uid="{50172884-AC52-3C46-930A-F731DDCAC82D}"/>
    <hyperlink ref="N146" r:id="rId25" xr:uid="{F8BC00A7-EF05-C74C-9F07-552C729D005D}"/>
    <hyperlink ref="N147" r:id="rId26" xr:uid="{64C6C50D-3D83-E24E-88A2-38217405A056}"/>
    <hyperlink ref="N155" r:id="rId27" xr:uid="{B04CF55B-F26C-3C4A-B36C-AB2D89ECA786}"/>
    <hyperlink ref="N148" r:id="rId28" xr:uid="{40D2E92D-8AC3-2142-AC65-211E3E991672}"/>
    <hyperlink ref="N149" r:id="rId29" xr:uid="{5C556977-5A36-174E-B5E9-1C28C06C0863}"/>
    <hyperlink ref="N160" r:id="rId30" location="srp" xr:uid="{90647D60-515C-294D-8C5E-2DA8B1F1E2A7}"/>
    <hyperlink ref="N159" r:id="rId31" location="srp" xr:uid="{A2B7B38A-02C8-C845-B68D-6A583EFA4330}"/>
    <hyperlink ref="N158" r:id="rId32" xr:uid="{BD55ED00-3DE7-244C-A8C3-2F27467F8D89}"/>
    <hyperlink ref="N157" r:id="rId33" xr:uid="{16091DE3-3119-824E-89EC-11A5D6E88808}"/>
    <hyperlink ref="N156" r:id="rId34" xr:uid="{25DE8BA0-0423-9B4E-9A71-5DA3652E8831}"/>
    <hyperlink ref="N175" r:id="rId35" location="ListeFonctPrinc" xr:uid="{2AC02EB6-7224-7F4C-942B-2804AC5F4CFF}"/>
    <hyperlink ref="N176" r:id="rId36" display="https://www.caaquebec.com/en/on-the-road/public-interest/gasoline-matters/gasoline-watch/" xr:uid="{C05B8365-B3B2-3D4D-99ED-A688F9158AAC}"/>
    <hyperlink ref="N114" r:id="rId37" display="https://ciusss-centresudmtl.gouv.qc.ca/actualite/covid-19-ouverture-dune-clinique-de-depistage-sans-rendez-vous-pour-augmenter-le-nombre-de-depistages" xr:uid="{25C2931D-6BA5-2347-B2D2-623EE2C3C9CC}"/>
    <hyperlink ref="N179" r:id="rId38" xr:uid="{70FAE844-A49B-4840-A4D1-AC0548DE74F1}"/>
    <hyperlink ref="N178" r:id="rId39" xr:uid="{1AEC1D1D-D234-E345-BA42-6C8EE9A3B004}"/>
    <hyperlink ref="N182" r:id="rId40" location="ListeFonctPrinc" xr:uid="{C192E7A5-0175-994F-BF68-7B7AD2161E23}"/>
    <hyperlink ref="N183" r:id="rId41" display="https://www.caaquebec.com/en/on-the-road/public-interest/gasoline-matters/gasoline-watch/" xr:uid="{D070CB5F-7E07-A44D-9FE8-68C836E5ECE4}"/>
    <hyperlink ref="N186" r:id="rId42" xr:uid="{6E9D44DD-8E71-0643-9683-6B00E30714A0}"/>
    <hyperlink ref="N185" r:id="rId43" xr:uid="{3CEDFAEC-AE66-AA4C-B234-C37E85BFF535}"/>
    <hyperlink ref="N190" r:id="rId44" xr:uid="{24584EB4-BB00-AE42-9D86-746ED2C82774}"/>
    <hyperlink ref="N191" r:id="rId45" xr:uid="{D36B64AB-C703-6745-91A1-28DE481DE7D3}"/>
    <hyperlink ref="N193" r:id="rId46" xr:uid="{42414275-0142-1442-B461-2EF015D8C551}"/>
    <hyperlink ref="N195" r:id="rId47" xr:uid="{430F89AF-6522-9347-8561-A4C6F920A497}"/>
    <hyperlink ref="N196" r:id="rId48" xr:uid="{B3C1B4C3-8613-324F-A3A9-37E6358403ED}"/>
    <hyperlink ref="N197" r:id="rId49" xr:uid="{0B221074-8559-A14A-8345-A2C5CDF927EA}"/>
    <hyperlink ref="N192" r:id="rId50" xr:uid="{E846DB0D-0B7C-3F4A-B536-CE0554D88221}"/>
    <hyperlink ref="N194" r:id="rId51" xr:uid="{26852DB6-4235-064E-A13C-BC62AA698FC3}"/>
    <hyperlink ref="N201" r:id="rId52" location="srp" xr:uid="{0A384FB6-DC90-444B-8EBE-8D31B80C5164}"/>
    <hyperlink ref="N200" r:id="rId53" location="srp" xr:uid="{8CB9E155-4953-E64D-A2F9-4275BF993E01}"/>
    <hyperlink ref="N199" r:id="rId54" xr:uid="{BC2280FA-E237-C149-B380-7ED0F967B93F}"/>
    <hyperlink ref="N198" r:id="rId55" xr:uid="{A6459A87-EE3F-FC4A-896F-29B296DC1956}"/>
    <hyperlink ref="N202" r:id="rId56" xr:uid="{043B1A01-A147-D54C-8B06-4B591272C277}"/>
    <hyperlink ref="N203" r:id="rId57" xr:uid="{3F68EA8C-7479-4A47-AB27-33076F0F075D}"/>
    <hyperlink ref="N204" r:id="rId58" xr:uid="{F557A66B-5710-0E4F-A56F-FC411C75C51B}"/>
    <hyperlink ref="N205" r:id="rId59" xr:uid="{D7E3888F-C6ED-5646-BE82-B9843C89DA48}"/>
    <hyperlink ref="N207" r:id="rId60" xr:uid="{3C14BE1E-3792-6C44-A8A8-6328354AEF18}"/>
    <hyperlink ref="N209" r:id="rId61" xr:uid="{3DB07876-444C-254E-A451-732BEC5BCE09}"/>
    <hyperlink ref="N210" r:id="rId62" xr:uid="{6654A424-DF71-3E4B-8569-A5B7D54ABEF6}"/>
    <hyperlink ref="N211" r:id="rId63" xr:uid="{8B99B802-8B3B-C24A-9798-8D943A5F9EFF}"/>
    <hyperlink ref="N206" r:id="rId64" xr:uid="{DF8CD423-E873-7549-A4EB-8C8790C519F3}"/>
    <hyperlink ref="N208" r:id="rId65" xr:uid="{8CB1BB80-1D58-D745-B663-602268362B6E}"/>
    <hyperlink ref="N215" r:id="rId66" location="srp" xr:uid="{C64EAFA8-8C2F-664D-BEC8-2B684F924CD0}"/>
    <hyperlink ref="N214" r:id="rId67" location="srp" xr:uid="{EDDC29AF-7F18-BC48-A9AC-6A543D958A23}"/>
    <hyperlink ref="N213" r:id="rId68" xr:uid="{2FECFAAE-E847-1D49-AA3B-44789EE57753}"/>
    <hyperlink ref="N212" r:id="rId69" xr:uid="{BC218057-44C3-6144-B4FC-F74C0843DE30}"/>
    <hyperlink ref="N216" r:id="rId70" xr:uid="{86B8F204-E7E3-ED4E-8C0A-3AA479079BEC}"/>
    <hyperlink ref="N217" r:id="rId71" xr:uid="{AE46B800-3C1C-AC4B-8420-6CDE83DEA224}"/>
    <hyperlink ref="N288" r:id="rId72" xr:uid="{032AD158-D30F-1843-B8B9-DD2DF57BE80A}"/>
    <hyperlink ref="N289" r:id="rId73" xr:uid="{D7C5981E-5BF2-BF44-B4A9-AAC08E2D70D4}"/>
    <hyperlink ref="N290" r:id="rId74" xr:uid="{5BA64D13-B46B-E247-9343-15EBDA3ADC58}"/>
    <hyperlink ref="N293" r:id="rId75" xr:uid="{EFD2DFA7-A46F-C24E-8BF4-E1E8F6753396}"/>
    <hyperlink ref="N297" r:id="rId76" xr:uid="{4984C152-12EA-4942-B8A3-3D7AC940361E}"/>
    <hyperlink ref="N64" r:id="rId77" xr:uid="{EB471963-FCF1-974E-B6AF-CC1C15E09DD5}"/>
    <hyperlink ref="N65" r:id="rId78" xr:uid="{C48111AA-433A-544A-8D98-38007F9C99F2}"/>
    <hyperlink ref="N66" r:id="rId79" xr:uid="{C51B71DD-5DE8-4144-81C9-C2E2944A95AC}"/>
    <hyperlink ref="N75" r:id="rId80" location="srp" xr:uid="{A00D9435-A3D2-5341-9A15-D3FEF4A55AA1}"/>
    <hyperlink ref="N74" r:id="rId81" location="srp" xr:uid="{83287D07-7027-CB47-BF25-C5267EF76A50}"/>
    <hyperlink ref="N73" r:id="rId82" xr:uid="{3D3B6B6C-8ACD-3649-8CD2-09758574A512}"/>
    <hyperlink ref="N72" r:id="rId83" xr:uid="{0398BB7A-6430-0E41-82D3-6C730A1CF382}"/>
    <hyperlink ref="N71" r:id="rId84" xr:uid="{D0D27E61-EDDF-A344-8378-B2775F48B56E}"/>
    <hyperlink ref="N89" r:id="rId85" xr:uid="{354CCBF3-CC14-0B47-85C6-690BFD140837}"/>
    <hyperlink ref="N90" r:id="rId86" xr:uid="{BC2EB234-18B0-7A40-B686-1BB945596072}"/>
    <hyperlink ref="N91" r:id="rId87" xr:uid="{B2816FCA-E366-684F-B721-53760F8CEFAE}"/>
    <hyperlink ref="N100" r:id="rId88" location="srp" xr:uid="{DE643A8D-5B91-B548-A783-0EA02D0BC6C9}"/>
    <hyperlink ref="N99" r:id="rId89" location="srp" xr:uid="{AF6FDB1E-4DC4-0043-9380-D4A12D11F8B9}"/>
    <hyperlink ref="N98" r:id="rId90" xr:uid="{E2A049DB-29FC-384A-857E-758393491D81}"/>
    <hyperlink ref="N97" r:id="rId91" xr:uid="{F3FB8E52-6802-534D-BB4F-9DFA2661266D}"/>
    <hyperlink ref="N96" r:id="rId92" xr:uid="{4C21A7AE-67EB-7146-9318-EFA88BE56368}"/>
    <hyperlink ref="N218" r:id="rId93" xr:uid="{C765CD4F-96C9-3247-AC7D-5FDAE7C71743}"/>
    <hyperlink ref="N219" r:id="rId94" xr:uid="{BE88D768-21A3-9E43-81C8-E33198FE89B6}"/>
    <hyperlink ref="N221" r:id="rId95" xr:uid="{096A09A4-9F66-7447-B4F5-2D6EE16F7556}"/>
    <hyperlink ref="N223" r:id="rId96" xr:uid="{11874327-73AC-2C46-8094-BAE00B627183}"/>
    <hyperlink ref="N224" r:id="rId97" xr:uid="{6D2C6763-3F58-3E4B-923D-B22343566C8D}"/>
    <hyperlink ref="N225" r:id="rId98" xr:uid="{6CEDF319-4DA8-9540-BF61-6860A3554733}"/>
    <hyperlink ref="N220" r:id="rId99" xr:uid="{2099955D-02FB-BA4C-9339-E2855889B267}"/>
    <hyperlink ref="N222" r:id="rId100" xr:uid="{543FF959-79A1-8441-8313-D23EE390D3CA}"/>
    <hyperlink ref="N229" r:id="rId101" location="srp" xr:uid="{7F853B05-0F0B-C047-B7F8-F40C23274CFF}"/>
    <hyperlink ref="N228" r:id="rId102" location="srp" xr:uid="{CB444955-E325-CC4E-B72D-780EDC4959E6}"/>
    <hyperlink ref="N227" r:id="rId103" xr:uid="{FD1ACA10-8DEA-624B-AB87-AB03D75FDA30}"/>
    <hyperlink ref="N226" r:id="rId104" xr:uid="{00FCFC01-0388-F74F-AAF0-3D09385E7F03}"/>
    <hyperlink ref="N230" r:id="rId105" xr:uid="{6C412B76-439D-844D-AB1D-1C4DE1D5FAC5}"/>
    <hyperlink ref="N231" r:id="rId106" xr:uid="{FCD530C4-946C-1742-8B2E-E233D9469CCB}"/>
    <hyperlink ref="N232" r:id="rId107" xr:uid="{67BF3412-33FA-2D42-801C-6DEE71628F4C}"/>
    <hyperlink ref="N233" r:id="rId108" xr:uid="{CA89FE9E-01BF-EE41-8F75-EEBBAE7A5C0A}"/>
    <hyperlink ref="N235" r:id="rId109" xr:uid="{355DCB74-01F6-874A-BC24-34A88623CDFA}"/>
    <hyperlink ref="N237" r:id="rId110" xr:uid="{41266B4A-0462-7E48-9545-42F2F717D9DF}"/>
    <hyperlink ref="N238" r:id="rId111" xr:uid="{C76BCD8B-0182-5547-9A2A-6AFF7529A0EE}"/>
    <hyperlink ref="N239" r:id="rId112" xr:uid="{66DE5A1A-40E0-644B-8670-1E0B9AE7BF4B}"/>
    <hyperlink ref="N234" r:id="rId113" xr:uid="{8FA08275-88E8-F343-8442-D0EFC101928C}"/>
    <hyperlink ref="N236" r:id="rId114" xr:uid="{5DD399C0-A81E-3846-89F6-E818CE3BF155}"/>
    <hyperlink ref="N243" r:id="rId115" location="srp" xr:uid="{52CBC818-A01A-9D43-B0C9-7B8B336F61AE}"/>
    <hyperlink ref="N242" r:id="rId116" location="srp" xr:uid="{C58A2853-6D5F-8F49-9349-0BE48919DD0F}"/>
    <hyperlink ref="N241" r:id="rId117" xr:uid="{7CB7D67F-8891-1E41-9BF2-DCCE975A7090}"/>
    <hyperlink ref="N240" r:id="rId118" xr:uid="{EBC78010-B1A9-134B-B7EF-4EEA997857B4}"/>
    <hyperlink ref="N244" r:id="rId119" xr:uid="{F8A1018C-9774-7E42-95A5-175B47DBB29B}"/>
    <hyperlink ref="N245" r:id="rId120" xr:uid="{7A1E22B8-255F-0D48-98B2-2457064C025F}"/>
    <hyperlink ref="N246" r:id="rId121" xr:uid="{9DC083FC-0EDB-0D4F-8F45-92ABD79729D5}"/>
    <hyperlink ref="N247" r:id="rId122" xr:uid="{C038DE4C-6F64-1B4D-9D2D-631EAB3BF71C}"/>
    <hyperlink ref="N249" r:id="rId123" xr:uid="{C363E61F-38D6-1944-B779-4EEAC3BB3877}"/>
    <hyperlink ref="N251" r:id="rId124" xr:uid="{70D144B6-529C-4149-85AE-5FA024E7470A}"/>
    <hyperlink ref="N252" r:id="rId125" xr:uid="{6FFBA0C5-5827-0A47-A552-4DC1EDCD4795}"/>
    <hyperlink ref="N253" r:id="rId126" xr:uid="{7B71200A-9DF4-F142-858B-9D31F346DDD8}"/>
    <hyperlink ref="N248" r:id="rId127" xr:uid="{DD626A9F-C525-6D4B-8964-2645B18230CA}"/>
    <hyperlink ref="N250" r:id="rId128" xr:uid="{D1CD88CA-AF24-6649-B1FD-CD891FAB7E45}"/>
    <hyperlink ref="N257" r:id="rId129" location="srp" xr:uid="{6C62B57B-F341-204C-98CD-68863F1ACCD7}"/>
    <hyperlink ref="N256" r:id="rId130" location="srp" xr:uid="{F926B629-A84A-9544-843B-783C43330356}"/>
    <hyperlink ref="N255" r:id="rId131" xr:uid="{9965E21C-511A-7F4E-9FE3-13223A8C2B35}"/>
    <hyperlink ref="N254" r:id="rId132" xr:uid="{D78390D8-9C97-AD44-A9C8-18AD0EFD68B4}"/>
    <hyperlink ref="N258" r:id="rId133" xr:uid="{A30ECFC0-0A41-9F40-89A5-A64899981587}"/>
    <hyperlink ref="N259" r:id="rId134" xr:uid="{E115578F-288D-924A-834D-9DDD48E0C8E0}"/>
    <hyperlink ref="N260" r:id="rId135" xr:uid="{6DA55620-8F11-D54B-B351-E91EF93D2730}"/>
    <hyperlink ref="N261" r:id="rId136" xr:uid="{91D0EEF5-82AF-114F-B0EA-437B0C6129BA}"/>
    <hyperlink ref="N263" r:id="rId137" xr:uid="{D8F4C830-101E-544D-A9D0-0CBE888CBA87}"/>
    <hyperlink ref="N265" r:id="rId138" xr:uid="{6EE1838B-4FBF-A949-AE90-4B65A7F21B54}"/>
    <hyperlink ref="N266" r:id="rId139" xr:uid="{46F9514B-7CC4-FC44-895E-5D27C0252646}"/>
    <hyperlink ref="N267" r:id="rId140" xr:uid="{197E1B27-974C-C74C-A2DA-4CEC20BC697C}"/>
    <hyperlink ref="N262" r:id="rId141" xr:uid="{D821707B-479E-A449-8A2A-F020377BC437}"/>
    <hyperlink ref="N264" r:id="rId142" xr:uid="{B8812A2E-28E2-3346-AA8F-654468023073}"/>
    <hyperlink ref="N271" r:id="rId143" location="srp" xr:uid="{3E52A328-DF9C-D849-9FA4-D2FB4913CB4A}"/>
    <hyperlink ref="N270" r:id="rId144" location="srp" xr:uid="{B15B3C20-C822-1848-94B0-C9B48CF2657D}"/>
    <hyperlink ref="N269" r:id="rId145" xr:uid="{A1DF3B89-DA48-5742-B372-8FBFAF9BA32E}"/>
    <hyperlink ref="N268" r:id="rId146" xr:uid="{47A8BF33-06E6-8C48-9D31-24FF69168A9D}"/>
    <hyperlink ref="N272" r:id="rId147" xr:uid="{FC3573EB-4AA0-8E41-81DD-8D6F48F93EC4}"/>
    <hyperlink ref="N273" r:id="rId148" xr:uid="{02B95B3B-194D-6F4D-BFCB-0FF41DCCF75B}"/>
    <hyperlink ref="N181" r:id="rId149" xr:uid="{01DA2A16-7E7F-E344-8770-71FE11E604BA}"/>
    <hyperlink ref="N180" r:id="rId150" xr:uid="{BEFD7360-6A1A-C340-9CBB-24F40860EC2D}"/>
    <hyperlink ref="N188" r:id="rId151" xr:uid="{F84A2954-7717-6241-94BE-176E3CB9BC28}"/>
    <hyperlink ref="N187" r:id="rId152" xr:uid="{EBE1942D-35EA-144C-A8BC-FA7EFA6EE501}"/>
    <hyperlink ref="N274" r:id="rId153" xr:uid="{93BD6637-AC6F-D841-B938-FA3F9D079413}"/>
    <hyperlink ref="N275" r:id="rId154" xr:uid="{009743D0-8304-A04C-85D4-C08AF865321F}"/>
    <hyperlink ref="N277" r:id="rId155" xr:uid="{9471F878-D12F-B948-A255-9DB1CA22E937}"/>
    <hyperlink ref="N279" r:id="rId156" xr:uid="{CF8A7794-B3F9-CD4E-B21D-12A6E9405F95}"/>
    <hyperlink ref="N280" r:id="rId157" xr:uid="{646028BB-C8F1-074C-AA76-92AB471DFBFF}"/>
    <hyperlink ref="N281" r:id="rId158" xr:uid="{5FD1D05C-70F2-7D44-A90B-2B4115BD5C1B}"/>
    <hyperlink ref="N276" r:id="rId159" xr:uid="{12FA8711-7DC3-6F42-8D68-4199CF79C3B0}"/>
    <hyperlink ref="N278" r:id="rId160" xr:uid="{96A6ED70-6E5E-5A4A-9B44-F96DC13A34AF}"/>
    <hyperlink ref="N285" r:id="rId161" location="srp" xr:uid="{EE549886-B8C3-A043-9BF1-B4C5223C9813}"/>
    <hyperlink ref="N284" r:id="rId162" location="srp" xr:uid="{73128488-15DE-2F4C-8742-BC3017473634}"/>
    <hyperlink ref="N283" r:id="rId163" xr:uid="{F1DF2B9D-47CF-E14A-B052-C3F2FEA9845F}"/>
    <hyperlink ref="N282" r:id="rId164" xr:uid="{BA39A98B-FD44-844B-BBBF-C71320DFCF9B}"/>
    <hyperlink ref="N286" r:id="rId165" xr:uid="{21AA1219-1A17-2E4D-A78A-9A4604C23A65}"/>
    <hyperlink ref="N22" r:id="rId166" display="https://www.stat.gouv.qc.ca/statistiques/travail-remuneration/remuneration-globale/globale-salaires/emplois-reperes/305empl_an.htm " xr:uid="{85AD9C39-CA67-7349-BE23-F0989EB54360}"/>
  </hyperlinks>
  <pageMargins left="0.7" right="0.7" top="0.75" bottom="0.75" header="0.3" footer="0.3"/>
  <pageSetup orientation="portrait" horizontalDpi="1200" verticalDpi="1200" r:id="rId16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82A27-C742-5F4B-87D3-25B00DDE36AE}">
  <dimension ref="B2:N304"/>
  <sheetViews>
    <sheetView zoomScale="83" zoomScaleNormal="70" workbookViewId="0">
      <selection activeCell="J16" sqref="J16"/>
    </sheetView>
  </sheetViews>
  <sheetFormatPr defaultColWidth="10.625" defaultRowHeight="15.75"/>
  <cols>
    <col min="1" max="1" width="4" style="1" customWidth="1"/>
    <col min="2" max="2" width="36.625" style="1" customWidth="1"/>
    <col min="3" max="3" width="23.125" style="1" customWidth="1"/>
    <col min="4" max="4" width="21.125" style="2" customWidth="1"/>
    <col min="5" max="5" width="10.625" style="21"/>
    <col min="6" max="6" width="16.5" style="2" customWidth="1"/>
    <col min="7" max="7" width="22.375" style="1" customWidth="1"/>
    <col min="8" max="8" width="11" style="3" bestFit="1" customWidth="1"/>
    <col min="9" max="9" width="11" style="1" customWidth="1"/>
    <col min="10" max="11" width="12.625" style="1" customWidth="1"/>
    <col min="12" max="12" width="19.125" style="4" customWidth="1"/>
    <col min="13" max="13" width="99.125" style="1" customWidth="1"/>
    <col min="14" max="14" width="107.125" style="1" customWidth="1"/>
    <col min="15" max="16384" width="10.625" style="1"/>
  </cols>
  <sheetData>
    <row r="2" spans="2:14" ht="20.100000000000001" customHeight="1">
      <c r="B2" s="551" t="s">
        <v>80</v>
      </c>
      <c r="C2" s="551"/>
      <c r="D2" s="551"/>
    </row>
    <row r="3" spans="2:14" ht="20.100000000000001" customHeight="1" thickBot="1">
      <c r="B3" s="171"/>
      <c r="C3" s="171"/>
      <c r="D3" s="171"/>
    </row>
    <row r="4" spans="2:14" ht="20.100000000000001" customHeight="1" thickBot="1">
      <c r="B4" s="74" t="s">
        <v>83</v>
      </c>
      <c r="C4" s="36">
        <f>DASHBOARD!D81</f>
        <v>20.796728359461017</v>
      </c>
      <c r="D4" s="171"/>
      <c r="E4" s="90"/>
    </row>
    <row r="5" spans="2:14" ht="16.5" thickBot="1">
      <c r="B5" s="74" t="s">
        <v>84</v>
      </c>
      <c r="C5" s="36">
        <f>DASHBOARD!D105</f>
        <v>16</v>
      </c>
    </row>
    <row r="6" spans="2:14" ht="19.350000000000001" customHeight="1">
      <c r="B6" s="74" t="s">
        <v>46</v>
      </c>
      <c r="C6" s="36">
        <f>C4*C5</f>
        <v>332.74765375137628</v>
      </c>
      <c r="D6" s="105"/>
    </row>
    <row r="7" spans="2:14" ht="16.350000000000001" customHeight="1">
      <c r="B7" s="75" t="s">
        <v>44</v>
      </c>
      <c r="C7" s="240">
        <f>ROUND(DASHBOARD!D96*0.15,0)</f>
        <v>13</v>
      </c>
      <c r="D7" s="105"/>
      <c r="E7" s="96"/>
      <c r="F7" s="96"/>
      <c r="G7" s="96"/>
      <c r="H7" s="96"/>
      <c r="I7" s="96"/>
      <c r="J7" s="96"/>
      <c r="K7" s="96"/>
      <c r="L7" s="96"/>
    </row>
    <row r="8" spans="2:14" ht="29.25" customHeight="1">
      <c r="B8" s="75" t="s">
        <v>45</v>
      </c>
      <c r="C8" s="240">
        <f>ROUND(DASHBOARD!D96*0.85,0)</f>
        <v>73</v>
      </c>
      <c r="D8" s="105"/>
    </row>
    <row r="9" spans="2:14" ht="17.100000000000001" customHeight="1">
      <c r="B9" s="76" t="s">
        <v>35</v>
      </c>
      <c r="C9" s="37">
        <f>DASHBOARD!D100</f>
        <v>2.8000000000000001E-2</v>
      </c>
      <c r="D9" s="105"/>
    </row>
    <row r="10" spans="2:14" ht="24" customHeight="1" thickBot="1">
      <c r="B10" s="77" t="s">
        <v>39</v>
      </c>
      <c r="C10" s="78" t="s">
        <v>100</v>
      </c>
      <c r="D10" s="105"/>
    </row>
    <row r="11" spans="2:14" ht="16.5" thickBot="1">
      <c r="B11" s="28"/>
      <c r="C11" s="28"/>
      <c r="D11" s="29"/>
      <c r="E11" s="18"/>
      <c r="F11" s="29"/>
      <c r="G11" s="28"/>
      <c r="H11" s="30"/>
      <c r="I11" s="28"/>
      <c r="J11" s="28"/>
      <c r="K11" s="28"/>
      <c r="L11" s="31"/>
      <c r="M11" s="28"/>
      <c r="N11" s="28"/>
    </row>
    <row r="12" spans="2:14" ht="63.75" thickBot="1">
      <c r="B12" s="45" t="s">
        <v>0</v>
      </c>
      <c r="C12" s="45" t="s">
        <v>85</v>
      </c>
      <c r="D12" s="45" t="s">
        <v>5</v>
      </c>
      <c r="E12" s="46" t="s">
        <v>1</v>
      </c>
      <c r="F12" s="45" t="s">
        <v>4</v>
      </c>
      <c r="G12" s="45" t="s">
        <v>19</v>
      </c>
      <c r="H12" s="47" t="s">
        <v>37</v>
      </c>
      <c r="I12" s="45" t="s">
        <v>42</v>
      </c>
      <c r="J12" s="45" t="s">
        <v>20</v>
      </c>
      <c r="K12" s="248" t="s">
        <v>459</v>
      </c>
      <c r="L12" s="49" t="s">
        <v>3</v>
      </c>
      <c r="M12" s="50" t="s">
        <v>36</v>
      </c>
      <c r="N12" s="86" t="s">
        <v>125</v>
      </c>
    </row>
    <row r="13" spans="2:14">
      <c r="B13" s="79" t="s">
        <v>2</v>
      </c>
      <c r="C13" s="80">
        <f>C6</f>
        <v>332.74765375137628</v>
      </c>
      <c r="D13" s="2">
        <v>1</v>
      </c>
      <c r="E13" s="21">
        <v>1</v>
      </c>
      <c r="F13" s="2">
        <v>1</v>
      </c>
      <c r="G13" s="42" t="s">
        <v>14</v>
      </c>
      <c r="H13" s="3">
        <f>DASHBOARD!D35</f>
        <v>24.612000000000002</v>
      </c>
      <c r="I13" s="55">
        <f>(DASHBOARD!D141*100/60)*(8/7)</f>
        <v>9.5238095238095237</v>
      </c>
      <c r="J13" s="1">
        <f>1*DASHBOARD!$D$131</f>
        <v>1</v>
      </c>
      <c r="K13" s="1">
        <f>I13*J13</f>
        <v>9.5238095238095237</v>
      </c>
      <c r="L13" s="4">
        <f t="shared" ref="L13:L22" si="0">H13*I13*J13</f>
        <v>234.4</v>
      </c>
      <c r="M13" s="1" t="s">
        <v>101</v>
      </c>
      <c r="N13" s="87" t="s">
        <v>111</v>
      </c>
    </row>
    <row r="14" spans="2:14" ht="31.5">
      <c r="B14" s="79"/>
      <c r="E14" s="21" t="s">
        <v>86</v>
      </c>
      <c r="G14" s="42" t="s">
        <v>17</v>
      </c>
      <c r="H14" s="3">
        <f>DASHBOARD!D36</f>
        <v>45.12</v>
      </c>
      <c r="I14" s="55">
        <f>(I13/5)*2</f>
        <v>3.8095238095238093</v>
      </c>
      <c r="J14" s="1">
        <f>J13</f>
        <v>1</v>
      </c>
      <c r="K14" s="1">
        <f t="shared" ref="K14:K21" si="1">I14*J14</f>
        <v>3.8095238095238093</v>
      </c>
      <c r="L14" s="4">
        <f t="shared" si="0"/>
        <v>171.88571428571427</v>
      </c>
      <c r="M14" s="1" t="s">
        <v>172</v>
      </c>
      <c r="N14" s="87" t="s">
        <v>111</v>
      </c>
    </row>
    <row r="15" spans="2:14" ht="63">
      <c r="B15" s="79"/>
      <c r="F15" s="2" t="s">
        <v>312</v>
      </c>
      <c r="G15" s="42" t="s">
        <v>17</v>
      </c>
      <c r="H15" s="3">
        <f>DASHBOARD!D36</f>
        <v>45.12</v>
      </c>
      <c r="I15" s="32">
        <v>8</v>
      </c>
      <c r="J15" s="1">
        <f>12.5-'Current Strategy'!J293</f>
        <v>0</v>
      </c>
      <c r="K15" s="1">
        <f t="shared" si="1"/>
        <v>0</v>
      </c>
      <c r="L15" s="4">
        <f t="shared" si="0"/>
        <v>0</v>
      </c>
      <c r="M15" s="1" t="s">
        <v>311</v>
      </c>
      <c r="N15" s="87"/>
    </row>
    <row r="16" spans="2:14" ht="31.5">
      <c r="B16" s="79"/>
      <c r="G16" s="42" t="s">
        <v>14</v>
      </c>
      <c r="H16" s="3">
        <f>DASHBOARD!D35</f>
        <v>24.612000000000002</v>
      </c>
      <c r="I16" s="32">
        <f>8*DASHBOARD!$D$133</f>
        <v>8</v>
      </c>
      <c r="J16" s="1">
        <f>IF(DASHBOARD!$D$104&gt;=DASHBOARD!$D$105,0,('Current Strategy'!J294/DASHBOARD!$D$104)*(DASHBOARD!$D$105/DASHBOARD!$D$104)-('Current Strategy'!J294/DASHBOARD!$D$104))</f>
        <v>3.1415999999999995</v>
      </c>
      <c r="K16" s="1">
        <f t="shared" si="1"/>
        <v>25.132799999999996</v>
      </c>
      <c r="L16" s="4">
        <f t="shared" si="0"/>
        <v>618.56847359999995</v>
      </c>
      <c r="M16" s="1" t="s">
        <v>311</v>
      </c>
      <c r="N16" s="87"/>
    </row>
    <row r="17" spans="2:14" ht="31.5">
      <c r="B17" s="79"/>
      <c r="F17" s="2" t="s">
        <v>454</v>
      </c>
      <c r="G17" s="132" t="s">
        <v>450</v>
      </c>
      <c r="H17" s="3">
        <f>DASHBOARD!D52</f>
        <v>48</v>
      </c>
      <c r="I17" s="32">
        <v>8</v>
      </c>
      <c r="J17" s="11">
        <f>SUM(J15:J16)/5.5</f>
        <v>0.57119999999999993</v>
      </c>
      <c r="K17" s="1">
        <f t="shared" si="1"/>
        <v>4.5695999999999994</v>
      </c>
      <c r="L17" s="4">
        <f t="shared" si="0"/>
        <v>219.34079999999997</v>
      </c>
      <c r="M17" s="1" t="s">
        <v>311</v>
      </c>
      <c r="N17" s="87"/>
    </row>
    <row r="18" spans="2:14" ht="31.5">
      <c r="B18" s="79"/>
      <c r="F18" s="2" t="s">
        <v>455</v>
      </c>
      <c r="G18" s="132" t="s">
        <v>180</v>
      </c>
      <c r="H18" s="3">
        <f>DASHBOARD!D53</f>
        <v>121.78799999999998</v>
      </c>
      <c r="I18" s="32">
        <v>8</v>
      </c>
      <c r="J18" s="11">
        <f>SUM(J15:J16)/27.5</f>
        <v>0.11423999999999998</v>
      </c>
      <c r="K18" s="1">
        <f t="shared" si="1"/>
        <v>0.91391999999999984</v>
      </c>
      <c r="L18" s="4">
        <f t="shared" si="0"/>
        <v>111.30448895999997</v>
      </c>
      <c r="M18" s="1" t="s">
        <v>311</v>
      </c>
      <c r="N18" s="87"/>
    </row>
    <row r="19" spans="2:14" ht="31.5">
      <c r="B19" s="79"/>
      <c r="F19" s="2" t="s">
        <v>455</v>
      </c>
      <c r="G19" s="132" t="s">
        <v>40</v>
      </c>
      <c r="H19" s="3">
        <f>DASHBOARD!D52</f>
        <v>48</v>
      </c>
      <c r="I19" s="1">
        <v>8</v>
      </c>
      <c r="J19" s="11">
        <f>SUM(J15:J16)/27.5</f>
        <v>0.11423999999999998</v>
      </c>
      <c r="K19" s="1">
        <f t="shared" si="1"/>
        <v>0.91391999999999984</v>
      </c>
      <c r="L19" s="4">
        <f t="shared" si="0"/>
        <v>43.868159999999989</v>
      </c>
      <c r="M19" s="1" t="s">
        <v>311</v>
      </c>
      <c r="N19" s="87"/>
    </row>
    <row r="20" spans="2:14" ht="31.5">
      <c r="B20" s="79"/>
      <c r="G20" s="132" t="s">
        <v>353</v>
      </c>
      <c r="H20" s="3">
        <f>DASHBOARD!D54</f>
        <v>60</v>
      </c>
      <c r="I20" s="1">
        <v>8</v>
      </c>
      <c r="J20" s="11">
        <f>SUM(J15:J16)/9.167*DASHBOARD!$D$129</f>
        <v>0.34270753790771241</v>
      </c>
      <c r="K20" s="1">
        <f t="shared" si="1"/>
        <v>2.7416603032616993</v>
      </c>
      <c r="L20" s="4">
        <f t="shared" si="0"/>
        <v>164.49961819570197</v>
      </c>
      <c r="M20" s="1" t="s">
        <v>311</v>
      </c>
      <c r="N20" s="87"/>
    </row>
    <row r="21" spans="2:14" ht="31.5">
      <c r="B21" s="79"/>
      <c r="F21" s="2" t="s">
        <v>456</v>
      </c>
      <c r="G21" s="42" t="s">
        <v>14</v>
      </c>
      <c r="H21" s="3">
        <f>DASHBOARD!D35</f>
        <v>24.612000000000002</v>
      </c>
      <c r="I21" s="32">
        <v>8</v>
      </c>
      <c r="J21" s="11">
        <f>SUM(J15:J16)/2.2*DASHBOARD!$D$129</f>
        <v>1.4279999999999997</v>
      </c>
      <c r="K21" s="1">
        <f t="shared" si="1"/>
        <v>11.423999999999998</v>
      </c>
      <c r="L21" s="4">
        <f t="shared" si="0"/>
        <v>281.16748799999999</v>
      </c>
      <c r="M21" s="1" t="s">
        <v>311</v>
      </c>
      <c r="N21" s="87"/>
    </row>
    <row r="22" spans="2:14" ht="46.35" customHeight="1">
      <c r="B22" s="79" t="s">
        <v>87</v>
      </c>
      <c r="F22" s="2">
        <v>0.1</v>
      </c>
      <c r="G22" s="42" t="s">
        <v>14</v>
      </c>
      <c r="H22" s="3">
        <f>DASHBOARD!D35</f>
        <v>24.612000000000002</v>
      </c>
      <c r="I22" s="55">
        <f>500/60</f>
        <v>8.3333333333333339</v>
      </c>
      <c r="J22" s="1">
        <v>1</v>
      </c>
      <c r="K22" s="1">
        <f>F22*I22*J22</f>
        <v>0.83333333333333348</v>
      </c>
      <c r="L22" s="4">
        <f t="shared" si="0"/>
        <v>205.10000000000002</v>
      </c>
      <c r="M22" s="1" t="s">
        <v>162</v>
      </c>
      <c r="N22" s="87" t="s">
        <v>111</v>
      </c>
    </row>
    <row r="23" spans="2:14" ht="22.35" customHeight="1" thickBot="1">
      <c r="B23" s="9" t="s">
        <v>7</v>
      </c>
      <c r="C23" s="10"/>
      <c r="D23" s="14"/>
      <c r="E23" s="20"/>
      <c r="F23" s="14"/>
      <c r="G23" s="10"/>
      <c r="H23" s="549" t="s">
        <v>81</v>
      </c>
      <c r="I23" s="549"/>
      <c r="J23" s="549"/>
      <c r="K23" s="242"/>
      <c r="L23" s="70">
        <f>((C13*D13*F13*SUM(L13:L21))+(C13*D13*F22*L22))/100/C13*100</f>
        <v>1865.544743041416</v>
      </c>
      <c r="M23" s="69" t="str">
        <f>"Per Person Cost is "&amp;ROUND(L23/100,2)&amp;" and the cost per "&amp;ROUND($C$6,0)&amp;" people is "&amp;ROUND(L23/100*$C$6,2)</f>
        <v>Per Person Cost is 18.66 and the cost per 333 people is 6207.56</v>
      </c>
    </row>
    <row r="24" spans="2:14" ht="65.849999999999994" customHeight="1">
      <c r="B24" s="17" t="s">
        <v>15</v>
      </c>
      <c r="C24" s="26">
        <f>C6</f>
        <v>332.74765375137628</v>
      </c>
      <c r="D24" s="2">
        <f>DASHBOARD!D126*DASHBOARD!$D$139</f>
        <v>0.15</v>
      </c>
      <c r="E24" s="21">
        <v>1</v>
      </c>
      <c r="F24" s="2">
        <f>DASHBOARD!D123</f>
        <v>0</v>
      </c>
      <c r="G24" s="41" t="s">
        <v>14</v>
      </c>
      <c r="H24" s="7">
        <f>DASHBOARD!$D$35</f>
        <v>24.612000000000002</v>
      </c>
      <c r="I24" s="34">
        <v>8</v>
      </c>
      <c r="J24" s="5">
        <f>J54/2</f>
        <v>1.1428571428571428</v>
      </c>
      <c r="K24" s="5">
        <f>$D$24*$F$24*I24*J24</f>
        <v>0</v>
      </c>
      <c r="L24" s="6">
        <f>H24*I24*J24</f>
        <v>225.024</v>
      </c>
      <c r="M24" s="1" t="s">
        <v>164</v>
      </c>
      <c r="N24" s="83" t="s">
        <v>111</v>
      </c>
    </row>
    <row r="25" spans="2:14" ht="37.35" customHeight="1">
      <c r="B25" s="17"/>
      <c r="G25" s="41" t="s">
        <v>17</v>
      </c>
      <c r="H25" s="7">
        <f>DASHBOARD!$D$36</f>
        <v>45.12</v>
      </c>
      <c r="I25" s="34">
        <v>8</v>
      </c>
      <c r="J25" s="5">
        <f>J55</f>
        <v>2.2857142857142856</v>
      </c>
      <c r="K25" s="5">
        <f t="shared" ref="K25:K29" si="2">$D$24*$F$24*I25*J25</f>
        <v>0</v>
      </c>
      <c r="L25" s="6">
        <f>H25*I25*J25</f>
        <v>825.05142857142846</v>
      </c>
      <c r="N25" s="87" t="s">
        <v>112</v>
      </c>
    </row>
    <row r="26" spans="2:14">
      <c r="B26" s="17" t="s">
        <v>102</v>
      </c>
      <c r="G26" s="41" t="s">
        <v>12</v>
      </c>
      <c r="H26" s="7">
        <f>DASHBOARD!$D$37</f>
        <v>19.8</v>
      </c>
      <c r="I26" s="34">
        <v>8</v>
      </c>
      <c r="J26" s="5">
        <f>J25</f>
        <v>2.2857142857142856</v>
      </c>
      <c r="K26" s="5">
        <f t="shared" si="2"/>
        <v>0</v>
      </c>
      <c r="L26" s="6">
        <f t="shared" ref="L26:L36" si="3">H26*I26*J26</f>
        <v>362.05714285714288</v>
      </c>
      <c r="N26" s="87" t="s">
        <v>113</v>
      </c>
    </row>
    <row r="27" spans="2:14">
      <c r="B27" s="17" t="s">
        <v>163</v>
      </c>
      <c r="D27" s="97"/>
      <c r="G27" s="41" t="s">
        <v>13</v>
      </c>
      <c r="H27" s="7">
        <f>DASHBOARD!$D$38</f>
        <v>39.6</v>
      </c>
      <c r="I27" s="34">
        <v>8</v>
      </c>
      <c r="J27" s="5">
        <f>0.18*(8/7)</f>
        <v>0.20571428571428568</v>
      </c>
      <c r="K27" s="5">
        <f t="shared" si="2"/>
        <v>0</v>
      </c>
      <c r="L27" s="6">
        <f t="shared" si="3"/>
        <v>65.170285714285711</v>
      </c>
      <c r="N27" s="87" t="s">
        <v>114</v>
      </c>
    </row>
    <row r="28" spans="2:14">
      <c r="B28" s="17"/>
      <c r="G28" s="41" t="s">
        <v>449</v>
      </c>
      <c r="H28" s="7">
        <f>DASHBOARD!$D$46</f>
        <v>54.804000000000002</v>
      </c>
      <c r="I28" s="34">
        <v>8</v>
      </c>
      <c r="J28" s="5">
        <f>0.19*(8/7)</f>
        <v>0.21714285714285714</v>
      </c>
      <c r="K28" s="5">
        <f t="shared" si="2"/>
        <v>0</v>
      </c>
      <c r="L28" s="6">
        <f t="shared" si="3"/>
        <v>95.202377142857145</v>
      </c>
      <c r="N28" s="87" t="s">
        <v>115</v>
      </c>
    </row>
    <row r="29" spans="2:14">
      <c r="B29" s="17"/>
      <c r="G29" s="41" t="s">
        <v>325</v>
      </c>
      <c r="H29" s="7">
        <f>DASHBOARD!$D$43</f>
        <v>21.599999999999998</v>
      </c>
      <c r="I29" s="34">
        <v>8</v>
      </c>
      <c r="J29" s="5">
        <f>0.75*(8/7)</f>
        <v>0.8571428571428571</v>
      </c>
      <c r="K29" s="5">
        <f t="shared" si="2"/>
        <v>0</v>
      </c>
      <c r="L29" s="6">
        <f t="shared" si="3"/>
        <v>148.1142857142857</v>
      </c>
      <c r="M29" s="1" t="s">
        <v>121</v>
      </c>
      <c r="N29" s="87" t="s">
        <v>116</v>
      </c>
    </row>
    <row r="30" spans="2:14">
      <c r="B30" s="17"/>
      <c r="G30" s="5" t="s">
        <v>8</v>
      </c>
      <c r="H30" s="7">
        <f>DASHBOARD!$D$56</f>
        <v>0.16259999999999999</v>
      </c>
      <c r="I30" s="34">
        <v>1</v>
      </c>
      <c r="J30" s="5">
        <v>8</v>
      </c>
      <c r="K30" s="5"/>
      <c r="L30" s="6">
        <f t="shared" si="3"/>
        <v>1.3008</v>
      </c>
      <c r="M30" s="1" t="s">
        <v>122</v>
      </c>
      <c r="N30" s="87" t="s">
        <v>117</v>
      </c>
    </row>
    <row r="31" spans="2:14">
      <c r="B31" s="17"/>
      <c r="G31" s="5" t="s">
        <v>41</v>
      </c>
      <c r="H31" s="7">
        <f>DASHBOARD!$D$57</f>
        <v>3.95</v>
      </c>
      <c r="I31" s="34">
        <v>1</v>
      </c>
      <c r="J31" s="5">
        <v>8</v>
      </c>
      <c r="K31" s="5"/>
      <c r="L31" s="6">
        <f t="shared" si="3"/>
        <v>31.6</v>
      </c>
      <c r="M31" s="1" t="s">
        <v>122</v>
      </c>
      <c r="N31" s="87" t="s">
        <v>118</v>
      </c>
    </row>
    <row r="32" spans="2:14">
      <c r="B32" s="17"/>
      <c r="G32" s="5" t="s">
        <v>9</v>
      </c>
      <c r="H32" s="7">
        <f>DASHBOARD!$D$58</f>
        <v>13.95</v>
      </c>
      <c r="I32" s="34">
        <v>1</v>
      </c>
      <c r="J32" s="5">
        <v>11</v>
      </c>
      <c r="K32" s="5"/>
      <c r="L32" s="6">
        <f t="shared" si="3"/>
        <v>153.44999999999999</v>
      </c>
      <c r="M32" s="1" t="s">
        <v>123</v>
      </c>
      <c r="N32" s="87" t="s">
        <v>119</v>
      </c>
    </row>
    <row r="33" spans="2:14">
      <c r="B33" s="17"/>
      <c r="G33" s="5" t="s">
        <v>16</v>
      </c>
      <c r="H33" s="7">
        <f>DASHBOARD!$D$59</f>
        <v>0.23960000000000001</v>
      </c>
      <c r="I33" s="34">
        <v>1</v>
      </c>
      <c r="J33" s="5">
        <v>208</v>
      </c>
      <c r="K33" s="5"/>
      <c r="L33" s="6">
        <f t="shared" si="3"/>
        <v>49.836800000000004</v>
      </c>
      <c r="M33" s="1" t="s">
        <v>124</v>
      </c>
      <c r="N33" s="87" t="s">
        <v>119</v>
      </c>
    </row>
    <row r="34" spans="2:14">
      <c r="B34" s="17"/>
      <c r="G34" s="5" t="s">
        <v>10</v>
      </c>
      <c r="H34" s="7">
        <f>DASHBOARD!$D$60</f>
        <v>1.7004999999999999</v>
      </c>
      <c r="I34" s="34">
        <v>1</v>
      </c>
      <c r="J34" s="5">
        <v>200</v>
      </c>
      <c r="K34" s="5"/>
      <c r="L34" s="6">
        <f t="shared" si="3"/>
        <v>340.09999999999997</v>
      </c>
      <c r="M34" s="1" t="s">
        <v>145</v>
      </c>
      <c r="N34" s="89" t="s">
        <v>147</v>
      </c>
    </row>
    <row r="35" spans="2:14">
      <c r="B35" s="17"/>
      <c r="G35" s="5" t="s">
        <v>144</v>
      </c>
      <c r="H35" s="7">
        <f>DASHBOARD!$D$61</f>
        <v>3.32</v>
      </c>
      <c r="I35" s="34">
        <v>1</v>
      </c>
      <c r="J35" s="5">
        <v>100</v>
      </c>
      <c r="K35" s="5"/>
      <c r="L35" s="6">
        <f t="shared" si="3"/>
        <v>332</v>
      </c>
      <c r="M35" s="1" t="s">
        <v>146</v>
      </c>
      <c r="N35" s="89" t="s">
        <v>148</v>
      </c>
    </row>
    <row r="36" spans="2:14">
      <c r="B36" s="17"/>
      <c r="G36" s="5" t="s">
        <v>11</v>
      </c>
      <c r="H36" s="7">
        <f>DASHBOARD!$D$62</f>
        <v>0.72</v>
      </c>
      <c r="I36" s="34">
        <v>1</v>
      </c>
      <c r="J36" s="5">
        <f>100</f>
        <v>100</v>
      </c>
      <c r="K36" s="5"/>
      <c r="L36" s="6">
        <f t="shared" si="3"/>
        <v>72</v>
      </c>
      <c r="N36" s="89"/>
    </row>
    <row r="37" spans="2:14">
      <c r="B37" s="17"/>
      <c r="F37" s="119">
        <f>DASHBOARD!$D$110</f>
        <v>0</v>
      </c>
      <c r="G37" s="120" t="s">
        <v>285</v>
      </c>
      <c r="H37" s="121">
        <f>DASHBOARD!$D$36</f>
        <v>45.12</v>
      </c>
      <c r="I37" s="122">
        <v>8</v>
      </c>
      <c r="J37" s="120">
        <f>0.625*F37*(8/7)</f>
        <v>0</v>
      </c>
      <c r="K37" s="120"/>
      <c r="L37" s="123">
        <f>F37*H37*I37*J37</f>
        <v>0</v>
      </c>
      <c r="M37" s="1" t="s">
        <v>287</v>
      </c>
      <c r="N37" s="89"/>
    </row>
    <row r="38" spans="2:14" ht="33.950000000000003" customHeight="1">
      <c r="B38" s="17"/>
      <c r="F38" s="124" t="s">
        <v>281</v>
      </c>
      <c r="G38" s="120" t="s">
        <v>286</v>
      </c>
      <c r="H38" s="121">
        <f>DASHBOARD!$D$35</f>
        <v>24.612000000000002</v>
      </c>
      <c r="I38" s="122">
        <v>8</v>
      </c>
      <c r="J38" s="152">
        <f>0.625*(8/7)</f>
        <v>0.71428571428571419</v>
      </c>
      <c r="K38" s="152"/>
      <c r="L38" s="123">
        <f>F37*H38*I38*J38</f>
        <v>0</v>
      </c>
      <c r="M38" s="1" t="s">
        <v>287</v>
      </c>
      <c r="N38" s="89"/>
    </row>
    <row r="39" spans="2:14">
      <c r="B39" s="17"/>
      <c r="F39" s="124" t="s">
        <v>373</v>
      </c>
      <c r="G39" s="120" t="s">
        <v>291</v>
      </c>
      <c r="H39" s="121">
        <f>DASHBOARD!$D$59</f>
        <v>0.23960000000000001</v>
      </c>
      <c r="I39" s="122">
        <v>1</v>
      </c>
      <c r="J39" s="120">
        <v>100</v>
      </c>
      <c r="K39" s="120"/>
      <c r="L39" s="123">
        <f>F37*H39*I39*J39</f>
        <v>0</v>
      </c>
      <c r="N39" s="89"/>
    </row>
    <row r="40" spans="2:14">
      <c r="B40" s="17"/>
      <c r="F40" s="119"/>
      <c r="G40" s="120" t="s">
        <v>284</v>
      </c>
      <c r="H40" s="121">
        <f>DASHBOARD!$D$69</f>
        <v>10</v>
      </c>
      <c r="I40" s="122">
        <v>1</v>
      </c>
      <c r="J40" s="120">
        <v>100</v>
      </c>
      <c r="K40" s="120"/>
      <c r="L40" s="123">
        <f>F37*H40*I40*J40</f>
        <v>0</v>
      </c>
      <c r="M40" s="1" t="s">
        <v>290</v>
      </c>
      <c r="N40" s="89"/>
    </row>
    <row r="41" spans="2:14">
      <c r="B41" s="17"/>
      <c r="F41" s="119"/>
      <c r="G41" s="120" t="s">
        <v>283</v>
      </c>
      <c r="H41" s="121">
        <f>DASHBOARD!$D$68</f>
        <v>0.84</v>
      </c>
      <c r="I41" s="122">
        <v>1</v>
      </c>
      <c r="J41" s="120">
        <v>100</v>
      </c>
      <c r="K41" s="120"/>
      <c r="L41" s="123">
        <f>F37*H41*I41*J41</f>
        <v>0</v>
      </c>
      <c r="M41" s="1" t="s">
        <v>288</v>
      </c>
      <c r="N41" s="88" t="s">
        <v>289</v>
      </c>
    </row>
    <row r="42" spans="2:14">
      <c r="B42" s="17"/>
      <c r="F42" s="145">
        <f>DASHBOARD!$D$111</f>
        <v>0</v>
      </c>
      <c r="G42" s="146" t="s">
        <v>285</v>
      </c>
      <c r="H42" s="147">
        <f>DASHBOARD!$D$36</f>
        <v>45.12</v>
      </c>
      <c r="I42" s="148">
        <v>8</v>
      </c>
      <c r="J42" s="146">
        <f>0.625*F42*(8/7)</f>
        <v>0</v>
      </c>
      <c r="K42" s="146"/>
      <c r="L42" s="149">
        <f>F42*H42*I42*J42</f>
        <v>0</v>
      </c>
      <c r="M42" s="1" t="s">
        <v>287</v>
      </c>
      <c r="N42" s="88"/>
    </row>
    <row r="43" spans="2:14" ht="18.95" customHeight="1">
      <c r="B43" s="17"/>
      <c r="F43" s="150" t="s">
        <v>281</v>
      </c>
      <c r="G43" s="146" t="s">
        <v>286</v>
      </c>
      <c r="H43" s="147">
        <f>DASHBOARD!$D$35</f>
        <v>24.612000000000002</v>
      </c>
      <c r="I43" s="148">
        <v>8</v>
      </c>
      <c r="J43" s="153">
        <f>0.625*(8/7)</f>
        <v>0.71428571428571419</v>
      </c>
      <c r="K43" s="153"/>
      <c r="L43" s="149">
        <f>F42*H43*I43*J43</f>
        <v>0</v>
      </c>
      <c r="M43" s="1" t="s">
        <v>287</v>
      </c>
      <c r="N43" s="88"/>
    </row>
    <row r="44" spans="2:14">
      <c r="B44" s="17"/>
      <c r="F44" s="150" t="s">
        <v>374</v>
      </c>
      <c r="G44" s="146" t="s">
        <v>291</v>
      </c>
      <c r="H44" s="147">
        <f>DASHBOARD!$D$59</f>
        <v>0.23960000000000001</v>
      </c>
      <c r="I44" s="148">
        <v>1</v>
      </c>
      <c r="J44" s="146">
        <v>100</v>
      </c>
      <c r="K44" s="146"/>
      <c r="L44" s="149">
        <f>F42*H44*I44*J44</f>
        <v>0</v>
      </c>
      <c r="N44" s="88"/>
    </row>
    <row r="45" spans="2:14">
      <c r="B45" s="17"/>
      <c r="F45" s="145"/>
      <c r="G45" s="146" t="s">
        <v>375</v>
      </c>
      <c r="H45" s="147">
        <f>DASHBOARD!$D$70</f>
        <v>1.41</v>
      </c>
      <c r="I45" s="148">
        <v>1</v>
      </c>
      <c r="J45" s="146">
        <v>100</v>
      </c>
      <c r="K45" s="146"/>
      <c r="L45" s="149">
        <f>F42*H45*I45*J45</f>
        <v>0</v>
      </c>
      <c r="M45" s="1" t="s">
        <v>377</v>
      </c>
      <c r="N45" s="88" t="s">
        <v>376</v>
      </c>
    </row>
    <row r="46" spans="2:14">
      <c r="B46" s="17"/>
      <c r="F46" s="145"/>
      <c r="G46" s="146" t="s">
        <v>283</v>
      </c>
      <c r="H46" s="147">
        <f>DASHBOARD!$D$68</f>
        <v>0.84</v>
      </c>
      <c r="I46" s="148">
        <v>1</v>
      </c>
      <c r="J46" s="146">
        <v>100</v>
      </c>
      <c r="K46" s="146"/>
      <c r="L46" s="149">
        <f>F42*H46*I46*J46</f>
        <v>0</v>
      </c>
      <c r="M46" s="1" t="s">
        <v>288</v>
      </c>
      <c r="N46" s="88" t="s">
        <v>289</v>
      </c>
    </row>
    <row r="47" spans="2:14">
      <c r="B47" s="17"/>
      <c r="F47" s="154">
        <f>DASHBOARD!$D$112</f>
        <v>0</v>
      </c>
      <c r="G47" s="155" t="s">
        <v>386</v>
      </c>
      <c r="H47" s="156">
        <f>DASHBOARD!$D$42</f>
        <v>30</v>
      </c>
      <c r="I47" s="157">
        <v>8</v>
      </c>
      <c r="J47" s="155">
        <f>((DASHBOARD!$D$113*100)/480)*(8/7)</f>
        <v>1.1904761904761905</v>
      </c>
      <c r="K47" s="155">
        <f>D24*F24*F47*I47*J47</f>
        <v>0</v>
      </c>
      <c r="L47" s="158">
        <f>F47*H47*I47*J47</f>
        <v>0</v>
      </c>
      <c r="M47" s="1" t="s">
        <v>460</v>
      </c>
      <c r="N47" s="88" t="s">
        <v>387</v>
      </c>
    </row>
    <row r="48" spans="2:14">
      <c r="B48" s="17"/>
      <c r="F48" s="159" t="s">
        <v>281</v>
      </c>
      <c r="G48" s="155" t="s">
        <v>382</v>
      </c>
      <c r="H48" s="156">
        <f>DASHBOARD!$D$59</f>
        <v>0.23960000000000001</v>
      </c>
      <c r="I48" s="157">
        <v>1</v>
      </c>
      <c r="J48" s="155">
        <v>100</v>
      </c>
      <c r="K48" s="155"/>
      <c r="L48" s="158">
        <f>F47*H48*I48*J48</f>
        <v>0</v>
      </c>
      <c r="M48" s="1" t="s">
        <v>388</v>
      </c>
      <c r="N48" s="88"/>
    </row>
    <row r="49" spans="2:14">
      <c r="B49" s="17"/>
      <c r="F49" s="159" t="s">
        <v>380</v>
      </c>
      <c r="G49" s="155" t="s">
        <v>383</v>
      </c>
      <c r="H49" s="156">
        <f>DASHBOARD!$D$60</f>
        <v>1.7004999999999999</v>
      </c>
      <c r="I49" s="157">
        <v>1</v>
      </c>
      <c r="J49" s="155">
        <v>100</v>
      </c>
      <c r="K49" s="155"/>
      <c r="L49" s="158">
        <f>F47*H49*I49*J49</f>
        <v>0</v>
      </c>
      <c r="M49" s="1" t="s">
        <v>388</v>
      </c>
      <c r="N49" s="88"/>
    </row>
    <row r="50" spans="2:14">
      <c r="B50" s="17"/>
      <c r="F50" s="154"/>
      <c r="G50" s="155" t="s">
        <v>41</v>
      </c>
      <c r="H50" s="156">
        <f>DASHBOARD!$D$57</f>
        <v>3.95</v>
      </c>
      <c r="I50" s="157">
        <v>1</v>
      </c>
      <c r="J50" s="155">
        <f>I47*J47/2</f>
        <v>4.7619047619047619</v>
      </c>
      <c r="K50" s="155"/>
      <c r="L50" s="158">
        <f>F47*H50*I50*J50</f>
        <v>0</v>
      </c>
      <c r="M50" s="1" t="s">
        <v>385</v>
      </c>
      <c r="N50" s="88"/>
    </row>
    <row r="51" spans="2:14">
      <c r="B51" s="17"/>
      <c r="F51" s="154"/>
      <c r="G51" s="155" t="s">
        <v>384</v>
      </c>
      <c r="H51" s="156">
        <f>DASHBOARD!$D$58</f>
        <v>13.95</v>
      </c>
      <c r="I51" s="157">
        <v>1</v>
      </c>
      <c r="J51" s="155">
        <f>I47*J47/2</f>
        <v>4.7619047619047619</v>
      </c>
      <c r="K51" s="155"/>
      <c r="L51" s="158">
        <f>F47*H51*I51*J51</f>
        <v>0</v>
      </c>
      <c r="M51" s="1" t="s">
        <v>385</v>
      </c>
      <c r="N51" s="88"/>
    </row>
    <row r="52" spans="2:14">
      <c r="B52" s="17"/>
      <c r="F52" s="154"/>
      <c r="G52" s="155" t="s">
        <v>389</v>
      </c>
      <c r="H52" s="156">
        <f>DASHBOARD!$D$71</f>
        <v>2.2799999999999998</v>
      </c>
      <c r="I52" s="157">
        <v>1</v>
      </c>
      <c r="J52" s="155">
        <v>100</v>
      </c>
      <c r="K52" s="155"/>
      <c r="L52" s="158">
        <f>F47*H52*I52*J52</f>
        <v>0</v>
      </c>
      <c r="M52" s="1" t="s">
        <v>390</v>
      </c>
      <c r="N52" s="88" t="s">
        <v>391</v>
      </c>
    </row>
    <row r="53" spans="2:14">
      <c r="B53" s="17"/>
      <c r="F53" s="154"/>
      <c r="G53" s="155" t="s">
        <v>392</v>
      </c>
      <c r="H53" s="156">
        <f>DASHBOARD!$D$72</f>
        <v>0.39</v>
      </c>
      <c r="I53" s="157">
        <v>1</v>
      </c>
      <c r="J53" s="155">
        <v>100</v>
      </c>
      <c r="K53" s="155"/>
      <c r="L53" s="158">
        <f>F47*H53*I53*J53</f>
        <v>0</v>
      </c>
      <c r="M53" s="1" t="s">
        <v>393</v>
      </c>
      <c r="N53" s="88" t="s">
        <v>394</v>
      </c>
    </row>
    <row r="54" spans="2:14" ht="63">
      <c r="B54" s="17"/>
      <c r="F54" s="2">
        <f>1-F24</f>
        <v>1</v>
      </c>
      <c r="G54" s="41" t="s">
        <v>14</v>
      </c>
      <c r="H54" s="7">
        <f>DASHBOARD!D49</f>
        <v>58.847999999999999</v>
      </c>
      <c r="I54" s="34">
        <v>6</v>
      </c>
      <c r="J54" s="5">
        <f>J55</f>
        <v>2.2857142857142856</v>
      </c>
      <c r="K54" s="5">
        <f>$D$24*$F$54*I54*J54</f>
        <v>2.0571428571428569</v>
      </c>
      <c r="L54" s="6">
        <f>H54*I54*J54</f>
        <v>807.0582857142856</v>
      </c>
      <c r="M54" s="1" t="s">
        <v>165</v>
      </c>
      <c r="N54" s="83" t="s">
        <v>111</v>
      </c>
    </row>
    <row r="55" spans="2:14">
      <c r="B55" s="17"/>
      <c r="G55" s="41" t="s">
        <v>17</v>
      </c>
      <c r="H55" s="7">
        <f>DASHBOARD!$D$36</f>
        <v>45.12</v>
      </c>
      <c r="I55" s="34">
        <v>8</v>
      </c>
      <c r="J55" s="5">
        <f>(DASHBOARD!$D$145*100/480)*(8/7)</f>
        <v>2.2857142857142856</v>
      </c>
      <c r="K55" s="5">
        <f t="shared" ref="K55:K59" si="4">$D$24*$F$54*I55*J55</f>
        <v>2.7428571428571424</v>
      </c>
      <c r="L55" s="6">
        <f>H55*I55*J55</f>
        <v>825.05142857142846</v>
      </c>
      <c r="N55" s="87" t="s">
        <v>112</v>
      </c>
    </row>
    <row r="56" spans="2:14">
      <c r="B56" s="17"/>
      <c r="G56" s="41" t="s">
        <v>12</v>
      </c>
      <c r="H56" s="7">
        <f>DASHBOARD!$D$37</f>
        <v>19.8</v>
      </c>
      <c r="I56" s="34">
        <v>8</v>
      </c>
      <c r="J56" s="5">
        <f>J55</f>
        <v>2.2857142857142856</v>
      </c>
      <c r="K56" s="5">
        <f t="shared" si="4"/>
        <v>2.7428571428571424</v>
      </c>
      <c r="L56" s="6">
        <f t="shared" ref="L56:L66" si="5">H56*I56*J56</f>
        <v>362.05714285714288</v>
      </c>
      <c r="N56" s="87" t="s">
        <v>113</v>
      </c>
    </row>
    <row r="57" spans="2:14">
      <c r="B57" s="17"/>
      <c r="G57" s="41" t="s">
        <v>13</v>
      </c>
      <c r="H57" s="7">
        <f>DASHBOARD!$D$38</f>
        <v>39.6</v>
      </c>
      <c r="I57" s="34">
        <v>8</v>
      </c>
      <c r="J57" s="5">
        <f>0.18*(8/7)</f>
        <v>0.20571428571428568</v>
      </c>
      <c r="K57" s="5">
        <f t="shared" si="4"/>
        <v>0.2468571428571428</v>
      </c>
      <c r="L57" s="6">
        <f t="shared" si="5"/>
        <v>65.170285714285711</v>
      </c>
      <c r="N57" s="87" t="s">
        <v>114</v>
      </c>
    </row>
    <row r="58" spans="2:14">
      <c r="B58" s="17"/>
      <c r="G58" s="41" t="s">
        <v>449</v>
      </c>
      <c r="H58" s="7">
        <f>DASHBOARD!$D$46</f>
        <v>54.804000000000002</v>
      </c>
      <c r="I58" s="34">
        <v>8</v>
      </c>
      <c r="J58" s="5">
        <f>0.19*(8/7)</f>
        <v>0.21714285714285714</v>
      </c>
      <c r="K58" s="5">
        <f t="shared" si="4"/>
        <v>0.26057142857142856</v>
      </c>
      <c r="L58" s="6">
        <f t="shared" si="5"/>
        <v>95.202377142857145</v>
      </c>
      <c r="N58" s="87" t="s">
        <v>115</v>
      </c>
    </row>
    <row r="59" spans="2:14">
      <c r="B59" s="17"/>
      <c r="G59" s="41" t="s">
        <v>325</v>
      </c>
      <c r="H59" s="7">
        <f>DASHBOARD!$D$43</f>
        <v>21.599999999999998</v>
      </c>
      <c r="I59" s="34">
        <v>8</v>
      </c>
      <c r="J59" s="5">
        <f>0.75*(8/7)</f>
        <v>0.8571428571428571</v>
      </c>
      <c r="K59" s="5">
        <f t="shared" si="4"/>
        <v>1.0285714285714285</v>
      </c>
      <c r="L59" s="6">
        <f t="shared" si="5"/>
        <v>148.1142857142857</v>
      </c>
      <c r="M59" s="1" t="s">
        <v>121</v>
      </c>
      <c r="N59" s="87" t="s">
        <v>116</v>
      </c>
    </row>
    <row r="60" spans="2:14">
      <c r="B60" s="17"/>
      <c r="G60" s="5" t="s">
        <v>8</v>
      </c>
      <c r="H60" s="7">
        <f>DASHBOARD!$D$56</f>
        <v>0.16259999999999999</v>
      </c>
      <c r="I60" s="34">
        <v>1</v>
      </c>
      <c r="J60" s="5">
        <v>8</v>
      </c>
      <c r="K60" s="5"/>
      <c r="L60" s="6">
        <f t="shared" si="5"/>
        <v>1.3008</v>
      </c>
      <c r="M60" s="1" t="s">
        <v>122</v>
      </c>
      <c r="N60" s="87" t="s">
        <v>117</v>
      </c>
    </row>
    <row r="61" spans="2:14">
      <c r="B61" s="17"/>
      <c r="G61" s="5" t="s">
        <v>41</v>
      </c>
      <c r="H61" s="7">
        <f>DASHBOARD!$D$57</f>
        <v>3.95</v>
      </c>
      <c r="I61" s="34">
        <v>1</v>
      </c>
      <c r="J61" s="5">
        <v>8</v>
      </c>
      <c r="K61" s="5"/>
      <c r="L61" s="6">
        <f t="shared" si="5"/>
        <v>31.6</v>
      </c>
      <c r="M61" s="1" t="s">
        <v>122</v>
      </c>
      <c r="N61" s="87" t="s">
        <v>118</v>
      </c>
    </row>
    <row r="62" spans="2:14">
      <c r="B62" s="17"/>
      <c r="G62" s="5" t="s">
        <v>9</v>
      </c>
      <c r="H62" s="7">
        <f>DASHBOARD!$D$58</f>
        <v>13.95</v>
      </c>
      <c r="I62" s="34">
        <v>1</v>
      </c>
      <c r="J62" s="5">
        <v>11</v>
      </c>
      <c r="K62" s="5"/>
      <c r="L62" s="6">
        <f t="shared" si="5"/>
        <v>153.44999999999999</v>
      </c>
      <c r="M62" s="1" t="s">
        <v>123</v>
      </c>
      <c r="N62" s="87" t="s">
        <v>119</v>
      </c>
    </row>
    <row r="63" spans="2:14">
      <c r="B63" s="17"/>
      <c r="G63" s="5" t="s">
        <v>16</v>
      </c>
      <c r="H63" s="7">
        <f>DASHBOARD!$D$59</f>
        <v>0.23960000000000001</v>
      </c>
      <c r="I63" s="34">
        <v>1</v>
      </c>
      <c r="J63" s="5">
        <v>208</v>
      </c>
      <c r="K63" s="5"/>
      <c r="L63" s="6">
        <f t="shared" si="5"/>
        <v>49.836800000000004</v>
      </c>
      <c r="M63" s="1" t="s">
        <v>124</v>
      </c>
      <c r="N63" s="87" t="s">
        <v>119</v>
      </c>
    </row>
    <row r="64" spans="2:14">
      <c r="B64" s="17"/>
      <c r="G64" s="5" t="s">
        <v>10</v>
      </c>
      <c r="H64" s="7">
        <f>DASHBOARD!$D$60</f>
        <v>1.7004999999999999</v>
      </c>
      <c r="I64" s="34">
        <v>1</v>
      </c>
      <c r="J64" s="5">
        <v>200</v>
      </c>
      <c r="K64" s="5"/>
      <c r="L64" s="6">
        <f t="shared" si="5"/>
        <v>340.09999999999997</v>
      </c>
      <c r="M64" s="1" t="s">
        <v>145</v>
      </c>
      <c r="N64" s="89" t="s">
        <v>147</v>
      </c>
    </row>
    <row r="65" spans="2:14">
      <c r="B65" s="17"/>
      <c r="G65" s="5" t="s">
        <v>144</v>
      </c>
      <c r="H65" s="7">
        <f>DASHBOARD!$D$61</f>
        <v>3.32</v>
      </c>
      <c r="I65" s="34">
        <v>1</v>
      </c>
      <c r="J65" s="5">
        <v>100</v>
      </c>
      <c r="K65" s="5"/>
      <c r="L65" s="6">
        <f t="shared" si="5"/>
        <v>332</v>
      </c>
      <c r="M65" s="1" t="s">
        <v>146</v>
      </c>
      <c r="N65" s="89" t="s">
        <v>148</v>
      </c>
    </row>
    <row r="66" spans="2:14">
      <c r="B66" s="17"/>
      <c r="G66" s="5" t="s">
        <v>11</v>
      </c>
      <c r="H66" s="7">
        <f>DASHBOARD!$D$62</f>
        <v>0.72</v>
      </c>
      <c r="I66" s="34">
        <v>1</v>
      </c>
      <c r="J66" s="5">
        <f>100</f>
        <v>100</v>
      </c>
      <c r="K66" s="5"/>
      <c r="L66" s="6">
        <f t="shared" si="5"/>
        <v>72</v>
      </c>
      <c r="N66" s="89"/>
    </row>
    <row r="67" spans="2:14">
      <c r="B67" s="17"/>
      <c r="F67" s="119">
        <f>DASHBOARD!$D$110</f>
        <v>0</v>
      </c>
      <c r="G67" s="120" t="s">
        <v>285</v>
      </c>
      <c r="H67" s="121">
        <f>DASHBOARD!$D$36</f>
        <v>45.12</v>
      </c>
      <c r="I67" s="122">
        <v>8</v>
      </c>
      <c r="J67" s="120">
        <f>0.625*F67*(8/7)</f>
        <v>0</v>
      </c>
      <c r="K67" s="120"/>
      <c r="L67" s="123">
        <f>F67*H67*I67*J67</f>
        <v>0</v>
      </c>
      <c r="M67" s="1" t="s">
        <v>287</v>
      </c>
      <c r="N67" s="89"/>
    </row>
    <row r="68" spans="2:14" ht="30.95" customHeight="1">
      <c r="B68" s="17"/>
      <c r="F68" s="124" t="s">
        <v>281</v>
      </c>
      <c r="G68" s="120" t="s">
        <v>286</v>
      </c>
      <c r="H68" s="121">
        <f>DASHBOARD!$D$35</f>
        <v>24.612000000000002</v>
      </c>
      <c r="I68" s="122">
        <v>8</v>
      </c>
      <c r="J68" s="120">
        <f>0.625*(8/7)</f>
        <v>0.71428571428571419</v>
      </c>
      <c r="K68" s="120"/>
      <c r="L68" s="123">
        <f>F67*H68*I68*J68</f>
        <v>0</v>
      </c>
      <c r="M68" s="1" t="s">
        <v>287</v>
      </c>
      <c r="N68" s="89"/>
    </row>
    <row r="69" spans="2:14">
      <c r="B69" s="17"/>
      <c r="F69" s="124" t="s">
        <v>373</v>
      </c>
      <c r="G69" s="120" t="s">
        <v>291</v>
      </c>
      <c r="H69" s="121">
        <f>DASHBOARD!$D$59</f>
        <v>0.23960000000000001</v>
      </c>
      <c r="I69" s="122">
        <v>1</v>
      </c>
      <c r="J69" s="120">
        <v>100</v>
      </c>
      <c r="K69" s="120"/>
      <c r="L69" s="123">
        <f>F67*H69*I69*J69</f>
        <v>0</v>
      </c>
      <c r="N69" s="89"/>
    </row>
    <row r="70" spans="2:14">
      <c r="B70" s="17"/>
      <c r="F70" s="119"/>
      <c r="G70" s="120" t="s">
        <v>284</v>
      </c>
      <c r="H70" s="121">
        <f>DASHBOARD!$D$69</f>
        <v>10</v>
      </c>
      <c r="I70" s="122">
        <v>1</v>
      </c>
      <c r="J70" s="120">
        <v>100</v>
      </c>
      <c r="K70" s="120"/>
      <c r="L70" s="123">
        <f>F67*H70*I70*J70</f>
        <v>0</v>
      </c>
      <c r="M70" s="1" t="s">
        <v>290</v>
      </c>
      <c r="N70" s="89"/>
    </row>
    <row r="71" spans="2:14">
      <c r="B71" s="17"/>
      <c r="F71" s="119"/>
      <c r="G71" s="120" t="s">
        <v>283</v>
      </c>
      <c r="H71" s="121">
        <f>DASHBOARD!$D$68</f>
        <v>0.84</v>
      </c>
      <c r="I71" s="122">
        <v>1</v>
      </c>
      <c r="J71" s="120">
        <v>100</v>
      </c>
      <c r="K71" s="120"/>
      <c r="L71" s="123">
        <f>F67*H71*I71*J71</f>
        <v>0</v>
      </c>
      <c r="M71" s="1" t="s">
        <v>288</v>
      </c>
      <c r="N71" s="88" t="s">
        <v>289</v>
      </c>
    </row>
    <row r="72" spans="2:14">
      <c r="B72" s="17"/>
      <c r="F72" s="145">
        <f>DASHBOARD!$D$111</f>
        <v>0</v>
      </c>
      <c r="G72" s="146" t="s">
        <v>285</v>
      </c>
      <c r="H72" s="147">
        <f>DASHBOARD!$D$36</f>
        <v>45.12</v>
      </c>
      <c r="I72" s="148">
        <v>8</v>
      </c>
      <c r="J72" s="146">
        <f>0.625*F72*(8/7)</f>
        <v>0</v>
      </c>
      <c r="K72" s="146"/>
      <c r="L72" s="149">
        <f>F72*H72*I72*J72</f>
        <v>0</v>
      </c>
      <c r="M72" s="1" t="s">
        <v>287</v>
      </c>
      <c r="N72" s="88"/>
    </row>
    <row r="73" spans="2:14" ht="18.95" customHeight="1">
      <c r="B73" s="17"/>
      <c r="F73" s="150" t="s">
        <v>281</v>
      </c>
      <c r="G73" s="146" t="s">
        <v>286</v>
      </c>
      <c r="H73" s="147">
        <f>DASHBOARD!$D$35</f>
        <v>24.612000000000002</v>
      </c>
      <c r="I73" s="148">
        <v>8</v>
      </c>
      <c r="J73" s="153">
        <f>0.625*(8/7)</f>
        <v>0.71428571428571419</v>
      </c>
      <c r="K73" s="153"/>
      <c r="L73" s="149">
        <f>F72*H73*I73*J73</f>
        <v>0</v>
      </c>
      <c r="M73" s="1" t="s">
        <v>287</v>
      </c>
      <c r="N73" s="88"/>
    </row>
    <row r="74" spans="2:14">
      <c r="B74" s="17"/>
      <c r="F74" s="150" t="s">
        <v>374</v>
      </c>
      <c r="G74" s="146" t="s">
        <v>291</v>
      </c>
      <c r="H74" s="147">
        <f>DASHBOARD!$D$59</f>
        <v>0.23960000000000001</v>
      </c>
      <c r="I74" s="148">
        <v>1</v>
      </c>
      <c r="J74" s="146">
        <v>100</v>
      </c>
      <c r="K74" s="146"/>
      <c r="L74" s="149">
        <f>F72*H74*I74*J74</f>
        <v>0</v>
      </c>
      <c r="N74" s="88"/>
    </row>
    <row r="75" spans="2:14">
      <c r="B75" s="17"/>
      <c r="F75" s="145"/>
      <c r="G75" s="146" t="s">
        <v>375</v>
      </c>
      <c r="H75" s="147">
        <f>DASHBOARD!$D$70</f>
        <v>1.41</v>
      </c>
      <c r="I75" s="148">
        <v>1</v>
      </c>
      <c r="J75" s="146">
        <v>100</v>
      </c>
      <c r="K75" s="146"/>
      <c r="L75" s="149">
        <f>F72*H75*I75*J75</f>
        <v>0</v>
      </c>
      <c r="M75" s="1" t="s">
        <v>377</v>
      </c>
      <c r="N75" s="88" t="s">
        <v>376</v>
      </c>
    </row>
    <row r="76" spans="2:14">
      <c r="B76" s="17"/>
      <c r="F76" s="145"/>
      <c r="G76" s="146" t="s">
        <v>283</v>
      </c>
      <c r="H76" s="147">
        <f>DASHBOARD!$D$68</f>
        <v>0.84</v>
      </c>
      <c r="I76" s="148">
        <v>1</v>
      </c>
      <c r="J76" s="146">
        <v>100</v>
      </c>
      <c r="K76" s="146"/>
      <c r="L76" s="149">
        <f>F72*H76*I76*J76</f>
        <v>0</v>
      </c>
      <c r="M76" s="1" t="s">
        <v>288</v>
      </c>
      <c r="N76" s="88" t="s">
        <v>289</v>
      </c>
    </row>
    <row r="77" spans="2:14">
      <c r="B77" s="17"/>
      <c r="F77" s="154">
        <f>DASHBOARD!$D$112</f>
        <v>0</v>
      </c>
      <c r="G77" s="155" t="s">
        <v>386</v>
      </c>
      <c r="H77" s="156">
        <f>DASHBOARD!$D$42</f>
        <v>30</v>
      </c>
      <c r="I77" s="157">
        <v>8</v>
      </c>
      <c r="J77" s="155">
        <f>((DASHBOARD!$D$113*100)/480)*(8/7)</f>
        <v>1.1904761904761905</v>
      </c>
      <c r="K77" s="155">
        <f>D24*F54*F77*I77*J77</f>
        <v>0</v>
      </c>
      <c r="L77" s="158">
        <f>F77*H77*I77*J77</f>
        <v>0</v>
      </c>
      <c r="M77" s="1" t="s">
        <v>460</v>
      </c>
      <c r="N77" s="88" t="s">
        <v>387</v>
      </c>
    </row>
    <row r="78" spans="2:14">
      <c r="B78" s="17"/>
      <c r="F78" s="159" t="s">
        <v>281</v>
      </c>
      <c r="G78" s="155" t="s">
        <v>382</v>
      </c>
      <c r="H78" s="156">
        <f>DASHBOARD!$D$59</f>
        <v>0.23960000000000001</v>
      </c>
      <c r="I78" s="157">
        <v>1</v>
      </c>
      <c r="J78" s="155">
        <v>100</v>
      </c>
      <c r="K78" s="155"/>
      <c r="L78" s="158">
        <f>F77*H78*I78*J78</f>
        <v>0</v>
      </c>
      <c r="M78" s="1" t="s">
        <v>388</v>
      </c>
      <c r="N78" s="88"/>
    </row>
    <row r="79" spans="2:14">
      <c r="B79" s="17"/>
      <c r="F79" s="159" t="s">
        <v>380</v>
      </c>
      <c r="G79" s="155" t="s">
        <v>383</v>
      </c>
      <c r="H79" s="156">
        <f>DASHBOARD!$D$60</f>
        <v>1.7004999999999999</v>
      </c>
      <c r="I79" s="157">
        <v>1</v>
      </c>
      <c r="J79" s="155">
        <v>100</v>
      </c>
      <c r="K79" s="155"/>
      <c r="L79" s="158">
        <f>F77*H79*I79*J79</f>
        <v>0</v>
      </c>
      <c r="M79" s="1" t="s">
        <v>388</v>
      </c>
      <c r="N79" s="88"/>
    </row>
    <row r="80" spans="2:14">
      <c r="B80" s="17"/>
      <c r="F80" s="154"/>
      <c r="G80" s="155" t="s">
        <v>41</v>
      </c>
      <c r="H80" s="156">
        <f>DASHBOARD!$D$57</f>
        <v>3.95</v>
      </c>
      <c r="I80" s="157">
        <v>1</v>
      </c>
      <c r="J80" s="155">
        <f>I77*J77/2</f>
        <v>4.7619047619047619</v>
      </c>
      <c r="K80" s="155"/>
      <c r="L80" s="158">
        <f>F77*H80*I80*J80</f>
        <v>0</v>
      </c>
      <c r="M80" s="1" t="s">
        <v>385</v>
      </c>
      <c r="N80" s="88"/>
    </row>
    <row r="81" spans="2:14">
      <c r="B81" s="17"/>
      <c r="F81" s="154"/>
      <c r="G81" s="155" t="s">
        <v>384</v>
      </c>
      <c r="H81" s="156">
        <f>DASHBOARD!$D$58</f>
        <v>13.95</v>
      </c>
      <c r="I81" s="157">
        <v>1</v>
      </c>
      <c r="J81" s="155">
        <f>I77*J77/2</f>
        <v>4.7619047619047619</v>
      </c>
      <c r="K81" s="155"/>
      <c r="L81" s="158">
        <f>F77*H81*I81*J81</f>
        <v>0</v>
      </c>
      <c r="M81" s="1" t="s">
        <v>385</v>
      </c>
      <c r="N81" s="88"/>
    </row>
    <row r="82" spans="2:14">
      <c r="B82" s="17"/>
      <c r="F82" s="154"/>
      <c r="G82" s="155" t="s">
        <v>389</v>
      </c>
      <c r="H82" s="156">
        <f>DASHBOARD!$D$71</f>
        <v>2.2799999999999998</v>
      </c>
      <c r="I82" s="157">
        <v>1</v>
      </c>
      <c r="J82" s="155">
        <v>100</v>
      </c>
      <c r="K82" s="155"/>
      <c r="L82" s="158">
        <f>F77*H82*I82*J82</f>
        <v>0</v>
      </c>
      <c r="M82" s="1" t="s">
        <v>390</v>
      </c>
      <c r="N82" s="88" t="s">
        <v>391</v>
      </c>
    </row>
    <row r="83" spans="2:14">
      <c r="B83" s="17"/>
      <c r="F83" s="154"/>
      <c r="G83" s="155" t="s">
        <v>392</v>
      </c>
      <c r="H83" s="156">
        <f>DASHBOARD!$D$72</f>
        <v>0.39</v>
      </c>
      <c r="I83" s="157">
        <v>1</v>
      </c>
      <c r="J83" s="155">
        <v>100</v>
      </c>
      <c r="K83" s="155"/>
      <c r="L83" s="158">
        <f>F77*H83*I83*J83</f>
        <v>0</v>
      </c>
      <c r="M83" s="1" t="s">
        <v>393</v>
      </c>
      <c r="N83" s="88" t="s">
        <v>394</v>
      </c>
    </row>
    <row r="84" spans="2:14" ht="31.5">
      <c r="B84" s="17"/>
      <c r="D84" s="2">
        <f>DASHBOARD!D127*DASHBOARD!$D$139</f>
        <v>0.85</v>
      </c>
      <c r="E84" s="21">
        <v>2</v>
      </c>
      <c r="F84" s="2">
        <f>DASHBOARD!D123</f>
        <v>0</v>
      </c>
      <c r="G84" s="41" t="s">
        <v>14</v>
      </c>
      <c r="H84" s="7">
        <f>DASHBOARD!$D$35</f>
        <v>24.612000000000002</v>
      </c>
      <c r="I84" s="34">
        <v>8</v>
      </c>
      <c r="J84" s="5">
        <f>J85+2/2</f>
        <v>1.6</v>
      </c>
      <c r="K84" s="5">
        <f>$D$84*$F$84*I84*J84</f>
        <v>0</v>
      </c>
      <c r="L84" s="6">
        <f>H84*I84*J84</f>
        <v>315.03360000000004</v>
      </c>
      <c r="M84" s="1" t="s">
        <v>322</v>
      </c>
      <c r="N84" s="83" t="s">
        <v>111</v>
      </c>
    </row>
    <row r="85" spans="2:14">
      <c r="B85" s="17"/>
      <c r="G85" s="41" t="s">
        <v>17</v>
      </c>
      <c r="H85" s="7">
        <f>DASHBOARD!$D$36</f>
        <v>45.12</v>
      </c>
      <c r="I85" s="34">
        <v>8</v>
      </c>
      <c r="J85" s="5">
        <f>DASHBOARD!$D$146*100/480</f>
        <v>0.6</v>
      </c>
      <c r="K85" s="5">
        <f t="shared" ref="K85:K90" si="6">$D$84*$F$84*I85*J85</f>
        <v>0</v>
      </c>
      <c r="L85" s="6">
        <f>H85*I85*J85</f>
        <v>216.57599999999999</v>
      </c>
      <c r="M85" s="1" t="s">
        <v>321</v>
      </c>
      <c r="N85" s="87" t="s">
        <v>112</v>
      </c>
    </row>
    <row r="86" spans="2:14">
      <c r="B86" s="17"/>
      <c r="G86" s="41" t="s">
        <v>6</v>
      </c>
      <c r="H86" s="3">
        <f>DASHBOARD!$D$40</f>
        <v>24.276</v>
      </c>
      <c r="I86" s="34">
        <v>8</v>
      </c>
      <c r="J86" s="5">
        <f>J85</f>
        <v>0.6</v>
      </c>
      <c r="K86" s="5">
        <f t="shared" si="6"/>
        <v>0</v>
      </c>
      <c r="L86" s="6">
        <f t="shared" ref="L86:L97" si="7">H86*I86*J86</f>
        <v>116.5248</v>
      </c>
      <c r="N86" s="87" t="s">
        <v>114</v>
      </c>
    </row>
    <row r="87" spans="2:14">
      <c r="B87" s="17"/>
      <c r="G87" s="41" t="s">
        <v>12</v>
      </c>
      <c r="H87" s="7">
        <f>DASHBOARD!$D$37</f>
        <v>19.8</v>
      </c>
      <c r="I87" s="34">
        <v>8</v>
      </c>
      <c r="J87" s="5">
        <v>0.8</v>
      </c>
      <c r="K87" s="5">
        <f t="shared" si="6"/>
        <v>0</v>
      </c>
      <c r="L87" s="6">
        <f t="shared" si="7"/>
        <v>126.72000000000001</v>
      </c>
      <c r="M87" s="1" t="s">
        <v>320</v>
      </c>
      <c r="N87" s="87"/>
    </row>
    <row r="88" spans="2:14">
      <c r="B88" s="17"/>
      <c r="G88" s="41" t="s">
        <v>449</v>
      </c>
      <c r="H88" s="7">
        <f>DASHBOARD!$D$46</f>
        <v>54.804000000000002</v>
      </c>
      <c r="I88" s="34">
        <v>8</v>
      </c>
      <c r="J88" s="5">
        <v>0.2</v>
      </c>
      <c r="K88" s="5">
        <f t="shared" si="6"/>
        <v>0</v>
      </c>
      <c r="L88" s="6">
        <f t="shared" si="7"/>
        <v>87.686400000000006</v>
      </c>
      <c r="M88" s="1" t="s">
        <v>324</v>
      </c>
      <c r="N88" s="87"/>
    </row>
    <row r="89" spans="2:14">
      <c r="B89" s="17"/>
      <c r="G89" s="41" t="s">
        <v>323</v>
      </c>
      <c r="H89" s="7">
        <f>DASHBOARD!$D$47</f>
        <v>60</v>
      </c>
      <c r="I89" s="34">
        <v>8</v>
      </c>
      <c r="J89" s="5">
        <v>0.2</v>
      </c>
      <c r="K89" s="5">
        <f t="shared" si="6"/>
        <v>0</v>
      </c>
      <c r="L89" s="6">
        <f t="shared" si="7"/>
        <v>96</v>
      </c>
      <c r="M89" s="1" t="s">
        <v>324</v>
      </c>
      <c r="N89" s="87"/>
    </row>
    <row r="90" spans="2:14">
      <c r="B90" s="17"/>
      <c r="G90" s="41" t="s">
        <v>325</v>
      </c>
      <c r="H90" s="7">
        <f>DASHBOARD!$D$43</f>
        <v>21.599999999999998</v>
      </c>
      <c r="I90" s="34">
        <v>8</v>
      </c>
      <c r="J90" s="5">
        <v>0.8</v>
      </c>
      <c r="K90" s="5">
        <f t="shared" si="6"/>
        <v>0</v>
      </c>
      <c r="L90" s="6">
        <f t="shared" si="7"/>
        <v>138.23999999999998</v>
      </c>
      <c r="M90" s="1" t="s">
        <v>326</v>
      </c>
      <c r="N90" s="87"/>
    </row>
    <row r="91" spans="2:14">
      <c r="B91" s="17"/>
      <c r="G91" s="5" t="s">
        <v>8</v>
      </c>
      <c r="H91" s="7">
        <f>DASHBOARD!$D$56</f>
        <v>0.16259999999999999</v>
      </c>
      <c r="I91" s="34">
        <v>1</v>
      </c>
      <c r="J91" s="5">
        <f>4*J84</f>
        <v>6.4</v>
      </c>
      <c r="K91" s="5"/>
      <c r="L91" s="6">
        <f t="shared" si="7"/>
        <v>1.04064</v>
      </c>
      <c r="M91" s="1" t="s">
        <v>121</v>
      </c>
      <c r="N91" s="87" t="s">
        <v>116</v>
      </c>
    </row>
    <row r="92" spans="2:14">
      <c r="B92" s="17"/>
      <c r="G92" s="5" t="s">
        <v>41</v>
      </c>
      <c r="H92" s="7">
        <f>DASHBOARD!$D$57</f>
        <v>3.95</v>
      </c>
      <c r="I92" s="34">
        <v>1</v>
      </c>
      <c r="J92" s="5">
        <f>(4*J85)+(4*J86)+(4*0.6)</f>
        <v>7.1999999999999993</v>
      </c>
      <c r="K92" s="5"/>
      <c r="L92" s="6">
        <f t="shared" si="7"/>
        <v>28.439999999999998</v>
      </c>
      <c r="M92" s="1" t="s">
        <v>122</v>
      </c>
      <c r="N92" s="87" t="s">
        <v>117</v>
      </c>
    </row>
    <row r="93" spans="2:14">
      <c r="B93" s="17"/>
      <c r="G93" s="5" t="s">
        <v>9</v>
      </c>
      <c r="H93" s="7">
        <f>DASHBOARD!$D$58</f>
        <v>13.95</v>
      </c>
      <c r="I93" s="34">
        <v>1</v>
      </c>
      <c r="J93" s="5">
        <f>(4*J85)+(4*J86)+(4*0.6)</f>
        <v>7.1999999999999993</v>
      </c>
      <c r="K93" s="5"/>
      <c r="L93" s="6">
        <f t="shared" si="7"/>
        <v>100.43999999999998</v>
      </c>
      <c r="M93" s="1" t="s">
        <v>122</v>
      </c>
      <c r="N93" s="87" t="s">
        <v>118</v>
      </c>
    </row>
    <row r="94" spans="2:14">
      <c r="B94" s="17"/>
      <c r="G94" s="5" t="s">
        <v>16</v>
      </c>
      <c r="H94" s="7">
        <f>DASHBOARD!$D$59</f>
        <v>0.23960000000000001</v>
      </c>
      <c r="I94" s="34">
        <v>1</v>
      </c>
      <c r="J94" s="5">
        <f>(4*(J84-0.6))+100+100+100</f>
        <v>304</v>
      </c>
      <c r="K94" s="5"/>
      <c r="L94" s="6">
        <f t="shared" si="7"/>
        <v>72.838400000000007</v>
      </c>
      <c r="M94" s="1" t="s">
        <v>123</v>
      </c>
      <c r="N94" s="87" t="s">
        <v>119</v>
      </c>
    </row>
    <row r="95" spans="2:14">
      <c r="B95" s="17"/>
      <c r="G95" s="5" t="s">
        <v>10</v>
      </c>
      <c r="H95" s="7">
        <f>DASHBOARD!$D$60</f>
        <v>1.7004999999999999</v>
      </c>
      <c r="I95" s="34">
        <v>1</v>
      </c>
      <c r="J95" s="5">
        <f>100+100+100</f>
        <v>300</v>
      </c>
      <c r="K95" s="5"/>
      <c r="L95" s="6">
        <f t="shared" si="7"/>
        <v>510.15</v>
      </c>
      <c r="M95" s="1" t="s">
        <v>124</v>
      </c>
      <c r="N95" s="87" t="s">
        <v>119</v>
      </c>
    </row>
    <row r="96" spans="2:14">
      <c r="B96" s="17"/>
      <c r="G96" s="5" t="s">
        <v>144</v>
      </c>
      <c r="H96" s="7">
        <f>DASHBOARD!$D$61</f>
        <v>3.32</v>
      </c>
      <c r="I96" s="34">
        <v>1</v>
      </c>
      <c r="J96" s="5">
        <v>100</v>
      </c>
      <c r="K96" s="5"/>
      <c r="L96" s="6">
        <f t="shared" si="7"/>
        <v>332</v>
      </c>
      <c r="M96" s="1" t="s">
        <v>145</v>
      </c>
      <c r="N96" s="89" t="s">
        <v>147</v>
      </c>
    </row>
    <row r="97" spans="2:14">
      <c r="B97" s="17"/>
      <c r="G97" s="5" t="s">
        <v>11</v>
      </c>
      <c r="H97" s="7">
        <f>DASHBOARD!$D$62</f>
        <v>0.72</v>
      </c>
      <c r="I97" s="34">
        <v>1</v>
      </c>
      <c r="J97" s="5">
        <f>100</f>
        <v>100</v>
      </c>
      <c r="K97" s="5"/>
      <c r="L97" s="6">
        <f t="shared" si="7"/>
        <v>72</v>
      </c>
      <c r="M97" s="1" t="s">
        <v>146</v>
      </c>
      <c r="N97" s="89" t="s">
        <v>148</v>
      </c>
    </row>
    <row r="98" spans="2:14">
      <c r="B98" s="17"/>
      <c r="F98" s="119">
        <f>DASHBOARD!$D$110</f>
        <v>0</v>
      </c>
      <c r="G98" s="120" t="s">
        <v>285</v>
      </c>
      <c r="H98" s="121">
        <f>DASHBOARD!$D$36</f>
        <v>45.12</v>
      </c>
      <c r="I98" s="122">
        <v>8</v>
      </c>
      <c r="J98" s="120">
        <f>0.625*F98*(8/7)</f>
        <v>0</v>
      </c>
      <c r="K98" s="120"/>
      <c r="L98" s="123">
        <f>F98*H98*I98*J98</f>
        <v>0</v>
      </c>
      <c r="M98" s="1" t="s">
        <v>287</v>
      </c>
      <c r="N98" s="89"/>
    </row>
    <row r="99" spans="2:14" ht="31.5">
      <c r="B99" s="17"/>
      <c r="F99" s="124" t="s">
        <v>281</v>
      </c>
      <c r="G99" s="120" t="s">
        <v>292</v>
      </c>
      <c r="H99" s="121">
        <f>DASHBOARD!$D$40</f>
        <v>24.276</v>
      </c>
      <c r="I99" s="122">
        <v>8</v>
      </c>
      <c r="J99" s="120">
        <f>0.625*(8/7)</f>
        <v>0.71428571428571419</v>
      </c>
      <c r="K99" s="120"/>
      <c r="L99" s="123">
        <f>F98*H99*I99*J99</f>
        <v>0</v>
      </c>
      <c r="M99" s="1" t="s">
        <v>287</v>
      </c>
      <c r="N99" s="89"/>
    </row>
    <row r="100" spans="2:14">
      <c r="B100" s="17"/>
      <c r="F100" s="124" t="s">
        <v>373</v>
      </c>
      <c r="G100" s="120" t="s">
        <v>291</v>
      </c>
      <c r="H100" s="121">
        <f>DASHBOARD!$D$59</f>
        <v>0.23960000000000001</v>
      </c>
      <c r="I100" s="122">
        <v>1</v>
      </c>
      <c r="J100" s="120">
        <v>0</v>
      </c>
      <c r="K100" s="120"/>
      <c r="L100" s="123">
        <f>F98*H100*I100*J100</f>
        <v>0</v>
      </c>
      <c r="N100" s="89"/>
    </row>
    <row r="101" spans="2:14">
      <c r="B101" s="17"/>
      <c r="F101" s="119"/>
      <c r="G101" s="120" t="s">
        <v>284</v>
      </c>
      <c r="H101" s="121">
        <f>DASHBOARD!$D$69</f>
        <v>10</v>
      </c>
      <c r="I101" s="122">
        <v>1</v>
      </c>
      <c r="J101" s="120">
        <v>100</v>
      </c>
      <c r="K101" s="120"/>
      <c r="L101" s="123">
        <f>F98*H101*I101*J101</f>
        <v>0</v>
      </c>
      <c r="M101" s="1" t="s">
        <v>290</v>
      </c>
      <c r="N101" s="89"/>
    </row>
    <row r="102" spans="2:14">
      <c r="B102" s="17"/>
      <c r="F102" s="119"/>
      <c r="G102" s="120" t="s">
        <v>283</v>
      </c>
      <c r="H102" s="121">
        <f>DASHBOARD!$D$68</f>
        <v>0.84</v>
      </c>
      <c r="I102" s="122">
        <v>1</v>
      </c>
      <c r="J102" s="120">
        <v>100</v>
      </c>
      <c r="K102" s="120"/>
      <c r="L102" s="123">
        <f>F98*H102*I102*J102</f>
        <v>0</v>
      </c>
      <c r="M102" s="1" t="s">
        <v>288</v>
      </c>
      <c r="N102" s="88" t="s">
        <v>289</v>
      </c>
    </row>
    <row r="103" spans="2:14">
      <c r="B103" s="17"/>
      <c r="F103" s="145">
        <f>DASHBOARD!$D$111</f>
        <v>0</v>
      </c>
      <c r="G103" s="146" t="s">
        <v>285</v>
      </c>
      <c r="H103" s="147">
        <f>DASHBOARD!$D$36</f>
        <v>45.12</v>
      </c>
      <c r="I103" s="148">
        <v>8</v>
      </c>
      <c r="J103" s="146">
        <f>0.625*F103*(8/7)</f>
        <v>0</v>
      </c>
      <c r="K103" s="146"/>
      <c r="L103" s="149">
        <f>F103*H103*I103*J103</f>
        <v>0</v>
      </c>
      <c r="M103" s="1" t="s">
        <v>287</v>
      </c>
      <c r="N103" s="88"/>
    </row>
    <row r="104" spans="2:14" ht="18.95" customHeight="1">
      <c r="B104" s="17"/>
      <c r="F104" s="150" t="s">
        <v>281</v>
      </c>
      <c r="G104" s="146" t="s">
        <v>286</v>
      </c>
      <c r="H104" s="147">
        <f>DASHBOARD!$D$35</f>
        <v>24.612000000000002</v>
      </c>
      <c r="I104" s="148">
        <v>8</v>
      </c>
      <c r="J104" s="153">
        <f>0.625*(8/7)</f>
        <v>0.71428571428571419</v>
      </c>
      <c r="K104" s="153"/>
      <c r="L104" s="149">
        <f>F103*H104*I104*J104</f>
        <v>0</v>
      </c>
      <c r="M104" s="1" t="s">
        <v>287</v>
      </c>
      <c r="N104" s="88"/>
    </row>
    <row r="105" spans="2:14">
      <c r="B105" s="17"/>
      <c r="F105" s="150" t="s">
        <v>374</v>
      </c>
      <c r="G105" s="146" t="s">
        <v>291</v>
      </c>
      <c r="H105" s="147">
        <f>DASHBOARD!$D$59</f>
        <v>0.23960000000000001</v>
      </c>
      <c r="I105" s="148">
        <v>1</v>
      </c>
      <c r="J105" s="146">
        <v>100</v>
      </c>
      <c r="K105" s="146"/>
      <c r="L105" s="149">
        <f>F103*H105*I105*J105</f>
        <v>0</v>
      </c>
      <c r="N105" s="88"/>
    </row>
    <row r="106" spans="2:14">
      <c r="B106" s="17"/>
      <c r="F106" s="145"/>
      <c r="G106" s="146" t="s">
        <v>375</v>
      </c>
      <c r="H106" s="147">
        <f>DASHBOARD!$D$70</f>
        <v>1.41</v>
      </c>
      <c r="I106" s="148">
        <v>1</v>
      </c>
      <c r="J106" s="146">
        <v>100</v>
      </c>
      <c r="K106" s="146"/>
      <c r="L106" s="149">
        <f>F103*H106*I106*J106</f>
        <v>0</v>
      </c>
      <c r="M106" s="1" t="s">
        <v>377</v>
      </c>
      <c r="N106" s="88" t="s">
        <v>376</v>
      </c>
    </row>
    <row r="107" spans="2:14">
      <c r="B107" s="17"/>
      <c r="F107" s="145"/>
      <c r="G107" s="146" t="s">
        <v>283</v>
      </c>
      <c r="H107" s="147">
        <f>DASHBOARD!$D$68</f>
        <v>0.84</v>
      </c>
      <c r="I107" s="148">
        <v>1</v>
      </c>
      <c r="J107" s="146">
        <v>100</v>
      </c>
      <c r="K107" s="146"/>
      <c r="L107" s="149">
        <f>F103*H107*I107*J107</f>
        <v>0</v>
      </c>
      <c r="M107" s="1" t="s">
        <v>288</v>
      </c>
      <c r="N107" s="88" t="s">
        <v>289</v>
      </c>
    </row>
    <row r="108" spans="2:14">
      <c r="B108" s="17"/>
      <c r="F108" s="154">
        <f>DASHBOARD!$D$112</f>
        <v>0</v>
      </c>
      <c r="G108" s="155" t="s">
        <v>386</v>
      </c>
      <c r="H108" s="156">
        <f>DASHBOARD!$D$42</f>
        <v>30</v>
      </c>
      <c r="I108" s="157">
        <v>8</v>
      </c>
      <c r="J108" s="155">
        <f>((DASHBOARD!$D$113*100)/480)*(8/7)</f>
        <v>1.1904761904761905</v>
      </c>
      <c r="K108" s="155">
        <f>D84*F84*F108*I108*J108</f>
        <v>0</v>
      </c>
      <c r="L108" s="158">
        <f>F108*H108*I108*J108</f>
        <v>0</v>
      </c>
      <c r="M108" s="1" t="s">
        <v>460</v>
      </c>
      <c r="N108" s="88" t="s">
        <v>387</v>
      </c>
    </row>
    <row r="109" spans="2:14">
      <c r="B109" s="17"/>
      <c r="F109" s="159" t="s">
        <v>281</v>
      </c>
      <c r="G109" s="155" t="s">
        <v>382</v>
      </c>
      <c r="H109" s="156">
        <f>DASHBOARD!$D$59</f>
        <v>0.23960000000000001</v>
      </c>
      <c r="I109" s="157">
        <v>1</v>
      </c>
      <c r="J109" s="155">
        <v>100</v>
      </c>
      <c r="K109" s="155"/>
      <c r="L109" s="158">
        <f>F108*H109*I109*J109</f>
        <v>0</v>
      </c>
      <c r="M109" s="1" t="s">
        <v>388</v>
      </c>
      <c r="N109" s="88"/>
    </row>
    <row r="110" spans="2:14">
      <c r="B110" s="17"/>
      <c r="F110" s="159" t="s">
        <v>380</v>
      </c>
      <c r="G110" s="155" t="s">
        <v>383</v>
      </c>
      <c r="H110" s="156">
        <f>DASHBOARD!$D$60</f>
        <v>1.7004999999999999</v>
      </c>
      <c r="I110" s="157">
        <v>1</v>
      </c>
      <c r="J110" s="155">
        <v>100</v>
      </c>
      <c r="K110" s="155"/>
      <c r="L110" s="158">
        <f>F108*H110*I110*J110</f>
        <v>0</v>
      </c>
      <c r="M110" s="1" t="s">
        <v>388</v>
      </c>
      <c r="N110" s="88"/>
    </row>
    <row r="111" spans="2:14">
      <c r="B111" s="17"/>
      <c r="F111" s="154"/>
      <c r="G111" s="155" t="s">
        <v>41</v>
      </c>
      <c r="H111" s="156">
        <f>DASHBOARD!$D$57</f>
        <v>3.95</v>
      </c>
      <c r="I111" s="157">
        <v>1</v>
      </c>
      <c r="J111" s="155">
        <f>I108*J108/2</f>
        <v>4.7619047619047619</v>
      </c>
      <c r="K111" s="155"/>
      <c r="L111" s="158">
        <f>F108*H111*I111*J111</f>
        <v>0</v>
      </c>
      <c r="M111" s="1" t="s">
        <v>385</v>
      </c>
      <c r="N111" s="88"/>
    </row>
    <row r="112" spans="2:14">
      <c r="B112" s="17"/>
      <c r="F112" s="154"/>
      <c r="G112" s="155" t="s">
        <v>384</v>
      </c>
      <c r="H112" s="156">
        <f>DASHBOARD!$D$58</f>
        <v>13.95</v>
      </c>
      <c r="I112" s="157">
        <v>1</v>
      </c>
      <c r="J112" s="155">
        <f>I108*J108/2</f>
        <v>4.7619047619047619</v>
      </c>
      <c r="K112" s="155"/>
      <c r="L112" s="158">
        <f>F108*H112*I112*J112</f>
        <v>0</v>
      </c>
      <c r="M112" s="1" t="s">
        <v>385</v>
      </c>
      <c r="N112" s="88"/>
    </row>
    <row r="113" spans="2:14">
      <c r="B113" s="17"/>
      <c r="F113" s="154"/>
      <c r="G113" s="155" t="s">
        <v>389</v>
      </c>
      <c r="H113" s="156">
        <f>DASHBOARD!$D$71</f>
        <v>2.2799999999999998</v>
      </c>
      <c r="I113" s="157">
        <v>1</v>
      </c>
      <c r="J113" s="155">
        <v>100</v>
      </c>
      <c r="K113" s="155"/>
      <c r="L113" s="158">
        <f>F108*H113*I113*J113</f>
        <v>0</v>
      </c>
      <c r="M113" s="1" t="s">
        <v>390</v>
      </c>
      <c r="N113" s="88" t="s">
        <v>391</v>
      </c>
    </row>
    <row r="114" spans="2:14">
      <c r="B114" s="17"/>
      <c r="F114" s="154"/>
      <c r="G114" s="155" t="s">
        <v>392</v>
      </c>
      <c r="H114" s="156">
        <f>DASHBOARD!$D$72</f>
        <v>0.39</v>
      </c>
      <c r="I114" s="157">
        <v>1</v>
      </c>
      <c r="J114" s="155">
        <v>100</v>
      </c>
      <c r="K114" s="155"/>
      <c r="L114" s="158">
        <f>F108*H114*I114*J114</f>
        <v>0</v>
      </c>
      <c r="M114" s="1" t="s">
        <v>393</v>
      </c>
      <c r="N114" s="88" t="s">
        <v>394</v>
      </c>
    </row>
    <row r="115" spans="2:14" ht="31.5">
      <c r="B115" s="17"/>
      <c r="F115" s="2">
        <f>1-F84</f>
        <v>1</v>
      </c>
      <c r="G115" s="41" t="s">
        <v>14</v>
      </c>
      <c r="H115" s="7">
        <f>DASHBOARD!$D$35</f>
        <v>24.612000000000002</v>
      </c>
      <c r="I115" s="34">
        <v>8</v>
      </c>
      <c r="J115" s="5">
        <f>J116+2</f>
        <v>2.6</v>
      </c>
      <c r="K115" s="5">
        <f>$D$84*$F$115*I115*J115</f>
        <v>17.68</v>
      </c>
      <c r="L115" s="6">
        <f>H115*I115*J115</f>
        <v>511.92960000000005</v>
      </c>
      <c r="M115" s="1" t="s">
        <v>322</v>
      </c>
      <c r="N115" s="83" t="s">
        <v>111</v>
      </c>
    </row>
    <row r="116" spans="2:14">
      <c r="B116" s="17"/>
      <c r="G116" s="41" t="s">
        <v>17</v>
      </c>
      <c r="H116" s="7">
        <f>DASHBOARD!$D$36</f>
        <v>45.12</v>
      </c>
      <c r="I116" s="34">
        <v>8</v>
      </c>
      <c r="J116" s="5">
        <f>DASHBOARD!$D$146*100/480</f>
        <v>0.6</v>
      </c>
      <c r="K116" s="5">
        <f t="shared" ref="K116:K121" si="8">$D$84*$F$115*I116*J116</f>
        <v>4.08</v>
      </c>
      <c r="L116" s="6">
        <f>H116*I116*J116</f>
        <v>216.57599999999999</v>
      </c>
      <c r="M116" s="1" t="s">
        <v>321</v>
      </c>
      <c r="N116" s="87" t="s">
        <v>112</v>
      </c>
    </row>
    <row r="117" spans="2:14">
      <c r="B117" s="17"/>
      <c r="G117" s="41" t="s">
        <v>6</v>
      </c>
      <c r="H117" s="3">
        <f>DASHBOARD!$D$40</f>
        <v>24.276</v>
      </c>
      <c r="I117" s="34">
        <v>8</v>
      </c>
      <c r="J117" s="5">
        <f>J116</f>
        <v>0.6</v>
      </c>
      <c r="K117" s="5">
        <f t="shared" si="8"/>
        <v>4.08</v>
      </c>
      <c r="L117" s="6">
        <f t="shared" ref="L117:L128" si="9">H117*I117*J117</f>
        <v>116.5248</v>
      </c>
      <c r="N117" s="87" t="s">
        <v>114</v>
      </c>
    </row>
    <row r="118" spans="2:14">
      <c r="B118" s="17"/>
      <c r="G118" s="41" t="s">
        <v>12</v>
      </c>
      <c r="H118" s="7">
        <f>DASHBOARD!$D$37</f>
        <v>19.8</v>
      </c>
      <c r="I118" s="34">
        <v>8</v>
      </c>
      <c r="J118" s="5">
        <v>0.8</v>
      </c>
      <c r="K118" s="5">
        <f t="shared" si="8"/>
        <v>5.44</v>
      </c>
      <c r="L118" s="6">
        <f t="shared" si="9"/>
        <v>126.72000000000001</v>
      </c>
      <c r="M118" s="1" t="s">
        <v>320</v>
      </c>
      <c r="N118" s="87"/>
    </row>
    <row r="119" spans="2:14">
      <c r="B119" s="17"/>
      <c r="G119" s="41" t="s">
        <v>449</v>
      </c>
      <c r="H119" s="7">
        <f>DASHBOARD!$D$46</f>
        <v>54.804000000000002</v>
      </c>
      <c r="I119" s="34">
        <v>8</v>
      </c>
      <c r="J119" s="5">
        <v>0.2</v>
      </c>
      <c r="K119" s="5">
        <f t="shared" si="8"/>
        <v>1.36</v>
      </c>
      <c r="L119" s="6">
        <f t="shared" si="9"/>
        <v>87.686400000000006</v>
      </c>
      <c r="M119" s="1" t="s">
        <v>324</v>
      </c>
      <c r="N119" s="87"/>
    </row>
    <row r="120" spans="2:14">
      <c r="B120" s="17"/>
      <c r="G120" s="41" t="s">
        <v>323</v>
      </c>
      <c r="H120" s="7">
        <f>DASHBOARD!$D$47</f>
        <v>60</v>
      </c>
      <c r="I120" s="34">
        <v>8</v>
      </c>
      <c r="J120" s="5">
        <v>0.2</v>
      </c>
      <c r="K120" s="5">
        <f t="shared" si="8"/>
        <v>1.36</v>
      </c>
      <c r="L120" s="6">
        <f t="shared" si="9"/>
        <v>96</v>
      </c>
      <c r="M120" s="1" t="s">
        <v>324</v>
      </c>
      <c r="N120" s="87"/>
    </row>
    <row r="121" spans="2:14">
      <c r="B121" s="17"/>
      <c r="G121" s="41" t="s">
        <v>325</v>
      </c>
      <c r="H121" s="7">
        <f>DASHBOARD!$D$43</f>
        <v>21.599999999999998</v>
      </c>
      <c r="I121" s="34">
        <v>8</v>
      </c>
      <c r="J121" s="5">
        <v>0.8</v>
      </c>
      <c r="K121" s="5">
        <f t="shared" si="8"/>
        <v>5.44</v>
      </c>
      <c r="L121" s="6">
        <f t="shared" si="9"/>
        <v>138.23999999999998</v>
      </c>
      <c r="M121" s="1" t="s">
        <v>326</v>
      </c>
      <c r="N121" s="87"/>
    </row>
    <row r="122" spans="2:14">
      <c r="B122" s="17"/>
      <c r="G122" s="5" t="s">
        <v>8</v>
      </c>
      <c r="H122" s="7">
        <f>DASHBOARD!$D$56</f>
        <v>0.16259999999999999</v>
      </c>
      <c r="I122" s="34">
        <v>1</v>
      </c>
      <c r="J122" s="5">
        <f>4*J115</f>
        <v>10.4</v>
      </c>
      <c r="K122" s="5"/>
      <c r="L122" s="6">
        <f t="shared" si="9"/>
        <v>1.6910400000000001</v>
      </c>
      <c r="M122" s="1" t="s">
        <v>121</v>
      </c>
      <c r="N122" s="87" t="s">
        <v>116</v>
      </c>
    </row>
    <row r="123" spans="2:14">
      <c r="B123" s="17"/>
      <c r="G123" s="5" t="s">
        <v>41</v>
      </c>
      <c r="H123" s="7">
        <f>DASHBOARD!$D$57</f>
        <v>3.95</v>
      </c>
      <c r="I123" s="34">
        <v>1</v>
      </c>
      <c r="J123" s="5">
        <f>(4*J116)+(4*J117)+(4*0.6)</f>
        <v>7.1999999999999993</v>
      </c>
      <c r="K123" s="5"/>
      <c r="L123" s="6">
        <f t="shared" si="9"/>
        <v>28.439999999999998</v>
      </c>
      <c r="M123" s="1" t="s">
        <v>122</v>
      </c>
      <c r="N123" s="87" t="s">
        <v>117</v>
      </c>
    </row>
    <row r="124" spans="2:14">
      <c r="B124" s="17"/>
      <c r="G124" s="5" t="s">
        <v>9</v>
      </c>
      <c r="H124" s="7">
        <f>DASHBOARD!$D$58</f>
        <v>13.95</v>
      </c>
      <c r="I124" s="34">
        <v>1</v>
      </c>
      <c r="J124" s="5">
        <f>(4*J116)+(4*J117)+(4*0.6)</f>
        <v>7.1999999999999993</v>
      </c>
      <c r="K124" s="5"/>
      <c r="L124" s="6">
        <f t="shared" si="9"/>
        <v>100.43999999999998</v>
      </c>
      <c r="M124" s="1" t="s">
        <v>122</v>
      </c>
      <c r="N124" s="87" t="s">
        <v>118</v>
      </c>
    </row>
    <row r="125" spans="2:14">
      <c r="B125" s="17"/>
      <c r="G125" s="5" t="s">
        <v>16</v>
      </c>
      <c r="H125" s="7">
        <f>DASHBOARD!$D$59</f>
        <v>0.23960000000000001</v>
      </c>
      <c r="I125" s="34">
        <v>1</v>
      </c>
      <c r="J125" s="5">
        <f>(4*(J115-0.6))+100+100+100</f>
        <v>308</v>
      </c>
      <c r="K125" s="5"/>
      <c r="L125" s="6">
        <f t="shared" si="9"/>
        <v>73.796800000000005</v>
      </c>
      <c r="M125" s="1" t="s">
        <v>123</v>
      </c>
      <c r="N125" s="87" t="s">
        <v>119</v>
      </c>
    </row>
    <row r="126" spans="2:14">
      <c r="B126" s="17"/>
      <c r="G126" s="5" t="s">
        <v>10</v>
      </c>
      <c r="H126" s="7">
        <f>DASHBOARD!$D$60</f>
        <v>1.7004999999999999</v>
      </c>
      <c r="I126" s="34">
        <v>1</v>
      </c>
      <c r="J126" s="5">
        <f>100+100+100</f>
        <v>300</v>
      </c>
      <c r="K126" s="5"/>
      <c r="L126" s="6">
        <f t="shared" si="9"/>
        <v>510.15</v>
      </c>
      <c r="M126" s="1" t="s">
        <v>124</v>
      </c>
      <c r="N126" s="87" t="s">
        <v>119</v>
      </c>
    </row>
    <row r="127" spans="2:14">
      <c r="B127" s="17"/>
      <c r="G127" s="5" t="s">
        <v>144</v>
      </c>
      <c r="H127" s="7">
        <f>DASHBOARD!$D$61</f>
        <v>3.32</v>
      </c>
      <c r="I127" s="34">
        <v>1</v>
      </c>
      <c r="J127" s="5">
        <v>100</v>
      </c>
      <c r="K127" s="5"/>
      <c r="L127" s="6">
        <f t="shared" si="9"/>
        <v>332</v>
      </c>
      <c r="M127" s="1" t="s">
        <v>145</v>
      </c>
      <c r="N127" s="89" t="s">
        <v>147</v>
      </c>
    </row>
    <row r="128" spans="2:14">
      <c r="B128" s="17"/>
      <c r="G128" s="5" t="s">
        <v>11</v>
      </c>
      <c r="H128" s="7">
        <f>DASHBOARD!$D$62</f>
        <v>0.72</v>
      </c>
      <c r="I128" s="34">
        <v>1</v>
      </c>
      <c r="J128" s="5">
        <f>100</f>
        <v>100</v>
      </c>
      <c r="K128" s="5"/>
      <c r="L128" s="6">
        <f t="shared" si="9"/>
        <v>72</v>
      </c>
      <c r="M128" s="1" t="s">
        <v>146</v>
      </c>
      <c r="N128" s="89" t="s">
        <v>148</v>
      </c>
    </row>
    <row r="129" spans="2:14">
      <c r="B129" s="17"/>
      <c r="F129" s="119">
        <f>DASHBOARD!$D$110</f>
        <v>0</v>
      </c>
      <c r="G129" s="120" t="s">
        <v>285</v>
      </c>
      <c r="H129" s="121">
        <f>DASHBOARD!$D$36</f>
        <v>45.12</v>
      </c>
      <c r="I129" s="122">
        <v>8</v>
      </c>
      <c r="J129" s="120">
        <f>0.625*F129*(8/7)</f>
        <v>0</v>
      </c>
      <c r="K129" s="120"/>
      <c r="L129" s="123">
        <f>F129*H129*I129*J129</f>
        <v>0</v>
      </c>
      <c r="M129" s="1" t="s">
        <v>287</v>
      </c>
      <c r="N129" s="89"/>
    </row>
    <row r="130" spans="2:14" ht="31.5">
      <c r="B130" s="17"/>
      <c r="F130" s="124" t="s">
        <v>281</v>
      </c>
      <c r="G130" s="120" t="s">
        <v>292</v>
      </c>
      <c r="H130" s="121">
        <f>DASHBOARD!$D$40</f>
        <v>24.276</v>
      </c>
      <c r="I130" s="122">
        <v>8</v>
      </c>
      <c r="J130" s="120">
        <f>0.625*(8/7)</f>
        <v>0.71428571428571419</v>
      </c>
      <c r="K130" s="120"/>
      <c r="L130" s="123">
        <f>F129*H130*I130*J130</f>
        <v>0</v>
      </c>
      <c r="M130" s="1" t="s">
        <v>287</v>
      </c>
      <c r="N130" s="89"/>
    </row>
    <row r="131" spans="2:14">
      <c r="B131" s="17"/>
      <c r="F131" s="124" t="s">
        <v>373</v>
      </c>
      <c r="G131" s="120" t="s">
        <v>291</v>
      </c>
      <c r="H131" s="121">
        <f>DASHBOARD!$D$59</f>
        <v>0.23960000000000001</v>
      </c>
      <c r="I131" s="122">
        <v>1</v>
      </c>
      <c r="J131" s="120">
        <v>0</v>
      </c>
      <c r="K131" s="120"/>
      <c r="L131" s="123">
        <f>F129*H131*I131*J131</f>
        <v>0</v>
      </c>
      <c r="N131" s="89"/>
    </row>
    <row r="132" spans="2:14">
      <c r="B132" s="17"/>
      <c r="F132" s="119"/>
      <c r="G132" s="120" t="s">
        <v>284</v>
      </c>
      <c r="H132" s="121">
        <f>DASHBOARD!$D$69</f>
        <v>10</v>
      </c>
      <c r="I132" s="122">
        <v>1</v>
      </c>
      <c r="J132" s="120">
        <v>100</v>
      </c>
      <c r="K132" s="120"/>
      <c r="L132" s="123">
        <f>F129*H132*I132*J132</f>
        <v>0</v>
      </c>
      <c r="M132" s="1" t="s">
        <v>290</v>
      </c>
      <c r="N132" s="89"/>
    </row>
    <row r="133" spans="2:14">
      <c r="B133" s="17"/>
      <c r="F133" s="119"/>
      <c r="G133" s="120" t="s">
        <v>283</v>
      </c>
      <c r="H133" s="121">
        <f>DASHBOARD!$D$68</f>
        <v>0.84</v>
      </c>
      <c r="I133" s="122">
        <v>1</v>
      </c>
      <c r="J133" s="120">
        <v>100</v>
      </c>
      <c r="K133" s="120"/>
      <c r="L133" s="123">
        <f>F129*H133*I133*J133</f>
        <v>0</v>
      </c>
      <c r="M133" s="1" t="s">
        <v>288</v>
      </c>
      <c r="N133" s="88" t="s">
        <v>289</v>
      </c>
    </row>
    <row r="134" spans="2:14">
      <c r="B134" s="17"/>
      <c r="F134" s="145">
        <f>DASHBOARD!$D$111</f>
        <v>0</v>
      </c>
      <c r="G134" s="146" t="s">
        <v>285</v>
      </c>
      <c r="H134" s="147">
        <f>DASHBOARD!$D$36</f>
        <v>45.12</v>
      </c>
      <c r="I134" s="148">
        <v>8</v>
      </c>
      <c r="J134" s="146">
        <f>0.625*F134*(8/7)</f>
        <v>0</v>
      </c>
      <c r="K134" s="146"/>
      <c r="L134" s="149">
        <f>F134*H134*I134*J134</f>
        <v>0</v>
      </c>
      <c r="M134" s="1" t="s">
        <v>287</v>
      </c>
      <c r="N134" s="88"/>
    </row>
    <row r="135" spans="2:14" ht="18.95" customHeight="1">
      <c r="B135" s="17"/>
      <c r="F135" s="150" t="s">
        <v>281</v>
      </c>
      <c r="G135" s="146" t="s">
        <v>286</v>
      </c>
      <c r="H135" s="147">
        <f>DASHBOARD!$D$35</f>
        <v>24.612000000000002</v>
      </c>
      <c r="I135" s="148">
        <v>8</v>
      </c>
      <c r="J135" s="153">
        <f>0.625*(8/7)</f>
        <v>0.71428571428571419</v>
      </c>
      <c r="K135" s="153"/>
      <c r="L135" s="149">
        <f>F134*H135*I135*J135</f>
        <v>0</v>
      </c>
      <c r="M135" s="1" t="s">
        <v>287</v>
      </c>
      <c r="N135" s="88"/>
    </row>
    <row r="136" spans="2:14">
      <c r="B136" s="17"/>
      <c r="F136" s="150" t="s">
        <v>374</v>
      </c>
      <c r="G136" s="146" t="s">
        <v>291</v>
      </c>
      <c r="H136" s="147">
        <f>DASHBOARD!$D$59</f>
        <v>0.23960000000000001</v>
      </c>
      <c r="I136" s="148">
        <v>1</v>
      </c>
      <c r="J136" s="146">
        <v>100</v>
      </c>
      <c r="K136" s="146"/>
      <c r="L136" s="149">
        <f>F134*H136*I136*J136</f>
        <v>0</v>
      </c>
      <c r="N136" s="88"/>
    </row>
    <row r="137" spans="2:14">
      <c r="B137" s="17"/>
      <c r="F137" s="145"/>
      <c r="G137" s="146" t="s">
        <v>375</v>
      </c>
      <c r="H137" s="147">
        <f>DASHBOARD!$D$70</f>
        <v>1.41</v>
      </c>
      <c r="I137" s="148">
        <v>1</v>
      </c>
      <c r="J137" s="146">
        <v>100</v>
      </c>
      <c r="K137" s="146"/>
      <c r="L137" s="149">
        <f>F134*H137*I137*J137</f>
        <v>0</v>
      </c>
      <c r="M137" s="1" t="s">
        <v>377</v>
      </c>
      <c r="N137" s="88" t="s">
        <v>376</v>
      </c>
    </row>
    <row r="138" spans="2:14">
      <c r="B138" s="17"/>
      <c r="F138" s="145"/>
      <c r="G138" s="146" t="s">
        <v>283</v>
      </c>
      <c r="H138" s="147">
        <f>DASHBOARD!$D$68</f>
        <v>0.84</v>
      </c>
      <c r="I138" s="148">
        <v>1</v>
      </c>
      <c r="J138" s="146">
        <v>100</v>
      </c>
      <c r="K138" s="146"/>
      <c r="L138" s="149">
        <f>F134*H138*I138*J138</f>
        <v>0</v>
      </c>
      <c r="M138" s="1" t="s">
        <v>288</v>
      </c>
      <c r="N138" s="88" t="s">
        <v>289</v>
      </c>
    </row>
    <row r="139" spans="2:14">
      <c r="B139" s="17"/>
      <c r="F139" s="154">
        <f>DASHBOARD!$D$112</f>
        <v>0</v>
      </c>
      <c r="G139" s="155" t="s">
        <v>386</v>
      </c>
      <c r="H139" s="156">
        <f>DASHBOARD!$D$42</f>
        <v>30</v>
      </c>
      <c r="I139" s="157">
        <v>8</v>
      </c>
      <c r="J139" s="155">
        <f>((DASHBOARD!$D$113*100)/480)*(8/7)</f>
        <v>1.1904761904761905</v>
      </c>
      <c r="K139" s="155">
        <f>D84*F115*F139*I139*J139</f>
        <v>0</v>
      </c>
      <c r="L139" s="158">
        <f>F139*H139*I139*J139</f>
        <v>0</v>
      </c>
      <c r="M139" s="1" t="s">
        <v>420</v>
      </c>
      <c r="N139" s="88" t="s">
        <v>387</v>
      </c>
    </row>
    <row r="140" spans="2:14">
      <c r="B140" s="17"/>
      <c r="F140" s="159" t="s">
        <v>281</v>
      </c>
      <c r="G140" s="155" t="s">
        <v>382</v>
      </c>
      <c r="H140" s="156">
        <f>DASHBOARD!$D$59</f>
        <v>0.23960000000000001</v>
      </c>
      <c r="I140" s="157">
        <v>1</v>
      </c>
      <c r="J140" s="155">
        <v>100</v>
      </c>
      <c r="K140" s="155"/>
      <c r="L140" s="158">
        <f>F139*H140*I140*J140</f>
        <v>0</v>
      </c>
      <c r="M140" s="1" t="s">
        <v>388</v>
      </c>
      <c r="N140" s="88"/>
    </row>
    <row r="141" spans="2:14">
      <c r="B141" s="17"/>
      <c r="F141" s="159" t="s">
        <v>380</v>
      </c>
      <c r="G141" s="155" t="s">
        <v>383</v>
      </c>
      <c r="H141" s="156">
        <f>DASHBOARD!$D$60</f>
        <v>1.7004999999999999</v>
      </c>
      <c r="I141" s="157">
        <v>1</v>
      </c>
      <c r="J141" s="155">
        <v>100</v>
      </c>
      <c r="K141" s="155"/>
      <c r="L141" s="158">
        <f>F139*H141*I141*J141</f>
        <v>0</v>
      </c>
      <c r="M141" s="1" t="s">
        <v>388</v>
      </c>
      <c r="N141" s="88"/>
    </row>
    <row r="142" spans="2:14">
      <c r="B142" s="17"/>
      <c r="F142" s="154"/>
      <c r="G142" s="155" t="s">
        <v>41</v>
      </c>
      <c r="H142" s="156">
        <f>DASHBOARD!$D$57</f>
        <v>3.95</v>
      </c>
      <c r="I142" s="157">
        <v>1</v>
      </c>
      <c r="J142" s="155">
        <f>I139*J139/2</f>
        <v>4.7619047619047619</v>
      </c>
      <c r="K142" s="155"/>
      <c r="L142" s="158">
        <f>F139*H142*I142*J142</f>
        <v>0</v>
      </c>
      <c r="M142" s="1" t="s">
        <v>385</v>
      </c>
      <c r="N142" s="88"/>
    </row>
    <row r="143" spans="2:14">
      <c r="B143" s="17"/>
      <c r="F143" s="154"/>
      <c r="G143" s="155" t="s">
        <v>384</v>
      </c>
      <c r="H143" s="156">
        <f>DASHBOARD!$D$58</f>
        <v>13.95</v>
      </c>
      <c r="I143" s="157">
        <v>1</v>
      </c>
      <c r="J143" s="155">
        <f>I139*J139/2</f>
        <v>4.7619047619047619</v>
      </c>
      <c r="K143" s="155"/>
      <c r="L143" s="158">
        <f>F139*H143*I143*J143</f>
        <v>0</v>
      </c>
      <c r="M143" s="1" t="s">
        <v>385</v>
      </c>
      <c r="N143" s="88"/>
    </row>
    <row r="144" spans="2:14">
      <c r="B144" s="17"/>
      <c r="F144" s="154"/>
      <c r="G144" s="155" t="s">
        <v>389</v>
      </c>
      <c r="H144" s="156">
        <f>DASHBOARD!$D$71</f>
        <v>2.2799999999999998</v>
      </c>
      <c r="I144" s="157">
        <v>1</v>
      </c>
      <c r="J144" s="155">
        <v>100</v>
      </c>
      <c r="K144" s="155"/>
      <c r="L144" s="158">
        <f>F139*H144*I144*J144</f>
        <v>0</v>
      </c>
      <c r="M144" s="1" t="s">
        <v>390</v>
      </c>
      <c r="N144" s="88" t="s">
        <v>391</v>
      </c>
    </row>
    <row r="145" spans="2:14">
      <c r="B145" s="17"/>
      <c r="F145" s="154"/>
      <c r="G145" s="155" t="s">
        <v>392</v>
      </c>
      <c r="H145" s="156">
        <f>DASHBOARD!$D$72</f>
        <v>0.39</v>
      </c>
      <c r="I145" s="157">
        <v>1</v>
      </c>
      <c r="J145" s="155">
        <v>100</v>
      </c>
      <c r="K145" s="155"/>
      <c r="L145" s="158">
        <f>F139*H145*I145*J145</f>
        <v>0</v>
      </c>
      <c r="M145" s="1" t="s">
        <v>393</v>
      </c>
      <c r="N145" s="88" t="s">
        <v>394</v>
      </c>
    </row>
    <row r="146" spans="2:14" ht="20.100000000000001" customHeight="1" thickBot="1">
      <c r="B146" s="9" t="s">
        <v>7</v>
      </c>
      <c r="C146" s="10"/>
      <c r="D146" s="14"/>
      <c r="E146" s="20"/>
      <c r="F146" s="14"/>
      <c r="G146" s="10"/>
      <c r="H146" s="549" t="s">
        <v>81</v>
      </c>
      <c r="I146" s="549"/>
      <c r="J146" s="549"/>
      <c r="K146" s="242"/>
      <c r="L146" s="70">
        <f>((C24*D24*F24*SUM(L24:L53))+(C24*D24*F54*SUM(L54:L83))+(C24*D84*F84*SUM(L84:L114))+(C24*D84*F115*SUM(L115:L145)))/100/C24*100</f>
        <v>2542.8066548571433</v>
      </c>
      <c r="M146" s="69" t="str">
        <f>"Per Person Cost is "&amp;ROUND(L146/100,2)&amp;" and the cost per "&amp;ROUND($C$6,0)&amp;" people is "&amp;ROUND(L146/100*$C$6,2)</f>
        <v>Per Person Cost is 25.43 and the cost per 333 people is 8461.13</v>
      </c>
    </row>
    <row r="147" spans="2:14" ht="21" customHeight="1">
      <c r="B147" s="22" t="s">
        <v>18</v>
      </c>
      <c r="C147" s="26">
        <f>C6</f>
        <v>332.74765375137628</v>
      </c>
      <c r="D147" s="2">
        <f>1*DASHBOARD!$D$139</f>
        <v>1</v>
      </c>
      <c r="E147" s="21" t="s">
        <v>166</v>
      </c>
      <c r="F147" s="2">
        <v>1</v>
      </c>
      <c r="G147" s="42" t="s">
        <v>21</v>
      </c>
      <c r="H147" s="3">
        <f>DASHBOARD!D41</f>
        <v>26.004000000000001</v>
      </c>
      <c r="I147" s="32">
        <f>(C7+C8)*F148*((DASHBOARD!D149+((ROUNDUP((C147*D147)/((C7+C8)*F148)/50,0))*DASHBOARD!$D$132))/60)*(8/7)</f>
        <v>121.21904761904763</v>
      </c>
      <c r="J147" s="11">
        <f>1/(D148*D147*F147/100)</f>
        <v>1.3333333333333334E-2</v>
      </c>
      <c r="K147" s="11">
        <f>I147*J147</f>
        <v>1.6162539682539685</v>
      </c>
      <c r="L147" s="4">
        <f>H147*I147*J147</f>
        <v>42.029068190476202</v>
      </c>
      <c r="M147" s="1" t="s">
        <v>167</v>
      </c>
      <c r="N147" s="87" t="s">
        <v>128</v>
      </c>
    </row>
    <row r="148" spans="2:14" ht="75.599999999999994" customHeight="1">
      <c r="B148" s="22"/>
      <c r="C148" s="1" t="s">
        <v>319</v>
      </c>
      <c r="D148" s="2">
        <f>DASHBOARD!$D$120</f>
        <v>7500</v>
      </c>
      <c r="E148" s="21" t="s">
        <v>154</v>
      </c>
      <c r="F148" s="2">
        <v>2</v>
      </c>
      <c r="G148" s="1" t="s">
        <v>22</v>
      </c>
      <c r="H148" s="3">
        <f>DASHBOARD!D64</f>
        <v>7.242172727E-2</v>
      </c>
      <c r="I148" s="32">
        <v>1</v>
      </c>
      <c r="J148" s="11">
        <f>(C7+C8)*32.8*F148*J147</f>
        <v>75.221333333333334</v>
      </c>
      <c r="K148" s="11"/>
      <c r="L148" s="4">
        <f>H148*I148*J148</f>
        <v>5.4476588875524268</v>
      </c>
      <c r="M148" s="1" t="s">
        <v>168</v>
      </c>
      <c r="N148" s="87" t="s">
        <v>129</v>
      </c>
    </row>
    <row r="149" spans="2:14">
      <c r="B149" s="22" t="s">
        <v>103</v>
      </c>
      <c r="G149" s="1" t="s">
        <v>158</v>
      </c>
      <c r="H149" s="3">
        <f>DASHBOARD!D65</f>
        <v>42.91</v>
      </c>
      <c r="I149" s="32">
        <f>I147/8</f>
        <v>15.152380952380954</v>
      </c>
      <c r="J149" s="11">
        <f>1/(D148*D147/100)</f>
        <v>1.3333333333333334E-2</v>
      </c>
      <c r="K149" s="11"/>
      <c r="L149" s="4">
        <f>H149*I149*J149</f>
        <v>8.6691822222222221</v>
      </c>
      <c r="M149" s="1" t="s">
        <v>160</v>
      </c>
      <c r="N149" s="87"/>
    </row>
    <row r="150" spans="2:14">
      <c r="B150" s="22" t="s">
        <v>104</v>
      </c>
      <c r="G150" s="1" t="s">
        <v>23</v>
      </c>
      <c r="H150" s="3">
        <f>DASHBOARD!$D$66</f>
        <v>0.18703</v>
      </c>
      <c r="I150" s="26">
        <v>1</v>
      </c>
      <c r="J150" s="55">
        <v>100</v>
      </c>
      <c r="K150" s="55"/>
      <c r="L150" s="4">
        <f t="shared" ref="L150:L151" si="10">H150*I150*J150</f>
        <v>18.702999999999999</v>
      </c>
      <c r="N150" s="87" t="s">
        <v>132</v>
      </c>
    </row>
    <row r="151" spans="2:14" ht="18" customHeight="1">
      <c r="B151" s="22"/>
      <c r="G151" s="1" t="s">
        <v>24</v>
      </c>
      <c r="H151" s="3">
        <f>DASHBOARD!$D$67</f>
        <v>1.274775</v>
      </c>
      <c r="I151" s="12">
        <v>1</v>
      </c>
      <c r="J151" s="11">
        <v>2</v>
      </c>
      <c r="K151" s="11"/>
      <c r="L151" s="4">
        <f t="shared" si="10"/>
        <v>2.54955</v>
      </c>
      <c r="M151" s="1" t="s">
        <v>47</v>
      </c>
      <c r="N151" s="88" t="s">
        <v>131</v>
      </c>
    </row>
    <row r="152" spans="2:14" ht="18" customHeight="1">
      <c r="B152" s="22"/>
      <c r="F152" s="134">
        <f>IF(OR(DASHBOARD!$D$111,DASHBOARD!$D$112=1),1,0)</f>
        <v>0</v>
      </c>
      <c r="G152" s="24" t="s">
        <v>418</v>
      </c>
      <c r="H152" s="165">
        <f>DASHBOARD!$D$66</f>
        <v>0.18703</v>
      </c>
      <c r="I152" s="166">
        <v>1</v>
      </c>
      <c r="J152" s="167">
        <v>100</v>
      </c>
      <c r="K152" s="167"/>
      <c r="L152" s="168">
        <f>F152*H152*I152*J152</f>
        <v>0</v>
      </c>
      <c r="N152" s="87" t="s">
        <v>132</v>
      </c>
    </row>
    <row r="153" spans="2:14" ht="18" customHeight="1">
      <c r="B153" s="22"/>
      <c r="F153" s="135" t="s">
        <v>281</v>
      </c>
      <c r="G153" s="24" t="s">
        <v>419</v>
      </c>
      <c r="H153" s="165">
        <f>DASHBOARD!$D$67</f>
        <v>1.274775</v>
      </c>
      <c r="I153" s="169">
        <v>1</v>
      </c>
      <c r="J153" s="167">
        <v>2</v>
      </c>
      <c r="K153" s="167"/>
      <c r="L153" s="168">
        <f>F152*H153*I153*J153</f>
        <v>0</v>
      </c>
      <c r="M153" s="1" t="s">
        <v>47</v>
      </c>
      <c r="N153" s="88" t="s">
        <v>131</v>
      </c>
    </row>
    <row r="154" spans="2:14" ht="21" customHeight="1" thickBot="1">
      <c r="B154" s="9" t="s">
        <v>7</v>
      </c>
      <c r="C154" s="10"/>
      <c r="D154" s="14"/>
      <c r="E154" s="20"/>
      <c r="F154" s="14"/>
      <c r="G154" s="10"/>
      <c r="H154" s="549" t="s">
        <v>81</v>
      </c>
      <c r="I154" s="549"/>
      <c r="J154" s="549"/>
      <c r="K154" s="242"/>
      <c r="L154" s="70">
        <f>D147*(SUM(L147:L151)+(F152*SUM(L152:L153)))</f>
        <v>77.398459300250849</v>
      </c>
      <c r="M154" s="69" t="str">
        <f>"Per Person Cost is "&amp;ROUND(L154/100,2)&amp;" and the cost per "&amp;ROUND($C$6,0)&amp;" people is "&amp;ROUND(L154/100*$C$6,2)</f>
        <v>Per Person Cost is 0.77 and the cost per 333 people is 257.54</v>
      </c>
    </row>
    <row r="155" spans="2:14" ht="21" customHeight="1">
      <c r="B155" s="23" t="s">
        <v>25</v>
      </c>
      <c r="C155" s="26">
        <f>C6</f>
        <v>332.74765375137628</v>
      </c>
      <c r="D155" s="134">
        <f>(1-DASHBOARD!$D$135)*DASHBOARD!$D$139</f>
        <v>1</v>
      </c>
      <c r="E155" s="21" t="s">
        <v>337</v>
      </c>
      <c r="F155" s="2">
        <f>1-C9</f>
        <v>0.97199999999999998</v>
      </c>
      <c r="G155" s="42" t="s">
        <v>14</v>
      </c>
      <c r="H155" s="3">
        <f>DASHBOARD!$D$35</f>
        <v>24.612000000000002</v>
      </c>
      <c r="I155" s="1">
        <f>DASHBOARD!$D$150*(100/60)*(8/7)</f>
        <v>7.6190476190476186</v>
      </c>
      <c r="J155" s="1">
        <v>1</v>
      </c>
      <c r="K155" s="53">
        <f>D155*F155*I155*J155</f>
        <v>7.4057142857142848</v>
      </c>
      <c r="L155" s="4">
        <f>H155*I155*J155</f>
        <v>187.52</v>
      </c>
      <c r="M155" s="1" t="s">
        <v>50</v>
      </c>
      <c r="N155" s="87" t="s">
        <v>133</v>
      </c>
    </row>
    <row r="156" spans="2:14">
      <c r="B156" s="23"/>
      <c r="D156" s="135" t="s">
        <v>416</v>
      </c>
      <c r="G156" s="42" t="s">
        <v>31</v>
      </c>
      <c r="H156" s="3">
        <f>DASHBOARD!$D$44</f>
        <v>48</v>
      </c>
      <c r="I156" s="11">
        <f>SUM(I160:I162)*(1/100)</f>
        <v>0.11955420466058762</v>
      </c>
      <c r="J156" s="1">
        <v>1</v>
      </c>
      <c r="K156" s="53">
        <f>D155*F155*I156*J156</f>
        <v>0.11620668693009116</v>
      </c>
      <c r="L156" s="4">
        <f t="shared" ref="L156:L182" si="11">H156*I156*J156</f>
        <v>5.7386018237082057</v>
      </c>
      <c r="M156" s="1" t="s">
        <v>136</v>
      </c>
      <c r="N156" s="87" t="s">
        <v>115</v>
      </c>
    </row>
    <row r="157" spans="2:14">
      <c r="B157" s="23" t="s">
        <v>348</v>
      </c>
      <c r="D157" s="135" t="s">
        <v>329</v>
      </c>
      <c r="G157" s="42" t="s">
        <v>32</v>
      </c>
      <c r="H157" s="3">
        <f>DASHBOARD!$D$49</f>
        <v>58.847999999999999</v>
      </c>
      <c r="I157" s="11">
        <f>SUM(I160:I162)*(1/10)</f>
        <v>1.1955420466058762</v>
      </c>
      <c r="J157" s="1">
        <v>1</v>
      </c>
      <c r="K157" s="53">
        <f>D155*F155*I157*J157</f>
        <v>1.1620668693009115</v>
      </c>
      <c r="L157" s="4">
        <f t="shared" si="11"/>
        <v>70.355258358662596</v>
      </c>
      <c r="M157" s="1" t="s">
        <v>137</v>
      </c>
      <c r="N157" s="87" t="s">
        <v>134</v>
      </c>
    </row>
    <row r="158" spans="2:14">
      <c r="B158" s="23" t="s">
        <v>398</v>
      </c>
      <c r="D158" s="134"/>
      <c r="G158" s="42" t="s">
        <v>33</v>
      </c>
      <c r="H158" s="3">
        <f>DASHBOARD!$D$50</f>
        <v>39</v>
      </c>
      <c r="I158" s="11">
        <f>SUM(I160:I162)*(1/33)</f>
        <v>0.36228546866844735</v>
      </c>
      <c r="J158" s="1">
        <v>1</v>
      </c>
      <c r="K158" s="53">
        <f>D155*F155*I158*J158</f>
        <v>0.35214147554573083</v>
      </c>
      <c r="L158" s="4">
        <f t="shared" si="11"/>
        <v>14.129133278069446</v>
      </c>
      <c r="M158" s="1" t="s">
        <v>138</v>
      </c>
      <c r="N158" s="87" t="s">
        <v>115</v>
      </c>
    </row>
    <row r="159" spans="2:14">
      <c r="B159" s="23" t="s">
        <v>397</v>
      </c>
      <c r="D159" s="134"/>
      <c r="G159" s="42" t="s">
        <v>34</v>
      </c>
      <c r="H159" s="3">
        <f>DASHBOARD!$D$51</f>
        <v>43.199999999999996</v>
      </c>
      <c r="I159" s="1">
        <f>SUM(I160:I162)*(1/100)</f>
        <v>0.11955420466058762</v>
      </c>
      <c r="J159" s="1">
        <v>1</v>
      </c>
      <c r="K159" s="53">
        <f>D155*F155*I159*J159</f>
        <v>0.11620668693009116</v>
      </c>
      <c r="L159" s="4">
        <f t="shared" si="11"/>
        <v>5.1647416413373852</v>
      </c>
      <c r="M159" s="1" t="s">
        <v>136</v>
      </c>
      <c r="N159" s="87" t="s">
        <v>135</v>
      </c>
    </row>
    <row r="160" spans="2:14">
      <c r="B160" s="23" t="s">
        <v>399</v>
      </c>
      <c r="D160" s="134"/>
      <c r="F160" s="2" t="s">
        <v>451</v>
      </c>
      <c r="G160" s="42" t="s">
        <v>27</v>
      </c>
      <c r="H160" s="3">
        <f>DASHBOARD!$D$39</f>
        <v>30</v>
      </c>
      <c r="I160" s="52">
        <f>(DASHBOARD!$D$151*100/60)*(8/7)</f>
        <v>5.7142857142857135</v>
      </c>
      <c r="J160" s="1">
        <v>1</v>
      </c>
      <c r="K160" s="53">
        <f>D155*F155*I160*J160</f>
        <v>5.5542857142857134</v>
      </c>
      <c r="L160" s="4">
        <f t="shared" si="11"/>
        <v>171.42857142857142</v>
      </c>
      <c r="M160" s="1" t="s">
        <v>48</v>
      </c>
      <c r="N160" s="87" t="s">
        <v>115</v>
      </c>
    </row>
    <row r="161" spans="2:14" ht="15" customHeight="1">
      <c r="B161" s="23" t="s">
        <v>400</v>
      </c>
      <c r="D161" s="134"/>
      <c r="F161" s="2" t="s">
        <v>452</v>
      </c>
      <c r="G161" s="42" t="s">
        <v>27</v>
      </c>
      <c r="H161" s="3">
        <f>DASHBOARD!$D$39</f>
        <v>30</v>
      </c>
      <c r="I161" s="52">
        <f>(DASHBOARD!$D$152*100/60)*(8/7)</f>
        <v>2.43161094224924</v>
      </c>
      <c r="J161" s="1">
        <v>1</v>
      </c>
      <c r="K161" s="53">
        <f>D155*F155*I161*J161</f>
        <v>2.3635258358662612</v>
      </c>
      <c r="L161" s="4">
        <f t="shared" si="11"/>
        <v>72.948328267477194</v>
      </c>
      <c r="M161" s="1" t="s">
        <v>49</v>
      </c>
      <c r="N161" s="87" t="s">
        <v>115</v>
      </c>
    </row>
    <row r="162" spans="2:14">
      <c r="B162" s="23"/>
      <c r="D162" s="134"/>
      <c r="F162" s="2" t="s">
        <v>453</v>
      </c>
      <c r="G162" s="66" t="s">
        <v>27</v>
      </c>
      <c r="H162" s="3">
        <f>DASHBOARD!$D$39</f>
        <v>30</v>
      </c>
      <c r="I162" s="1">
        <f>(DASHBOARD!$D$154*100)/60*(8/7)</f>
        <v>3.8095238095238093</v>
      </c>
      <c r="J162" s="1">
        <v>1</v>
      </c>
      <c r="K162" s="53">
        <f>D155*F155*I162*J162</f>
        <v>3.7028571428571424</v>
      </c>
      <c r="L162" s="4">
        <f t="shared" si="11"/>
        <v>114.28571428571428</v>
      </c>
      <c r="M162" s="27" t="s">
        <v>77</v>
      </c>
      <c r="N162" s="87" t="s">
        <v>115</v>
      </c>
    </row>
    <row r="163" spans="2:14">
      <c r="B163" s="23"/>
      <c r="D163" s="134"/>
      <c r="G163" s="1" t="s">
        <v>41</v>
      </c>
      <c r="H163" s="3">
        <f>DASHBOARD!$D$57</f>
        <v>3.95</v>
      </c>
      <c r="I163" s="1">
        <v>1</v>
      </c>
      <c r="J163" s="53">
        <f>2*SUM(I160:I162)/8</f>
        <v>2.9888551165146904</v>
      </c>
      <c r="K163" s="53"/>
      <c r="L163" s="4">
        <f t="shared" si="11"/>
        <v>11.805977710233028</v>
      </c>
      <c r="M163" s="1" t="s">
        <v>139</v>
      </c>
      <c r="N163" s="87" t="s">
        <v>117</v>
      </c>
    </row>
    <row r="164" spans="2:14">
      <c r="B164" s="23"/>
      <c r="D164" s="134"/>
      <c r="G164" s="1" t="s">
        <v>9</v>
      </c>
      <c r="H164" s="3">
        <f>DASHBOARD!$D$58</f>
        <v>13.95</v>
      </c>
      <c r="I164" s="1">
        <v>1</v>
      </c>
      <c r="J164" s="53">
        <f>2*SUM(I160:I162)/8</f>
        <v>2.9888551165146904</v>
      </c>
      <c r="K164" s="53"/>
      <c r="L164" s="4">
        <f t="shared" si="11"/>
        <v>41.69452887537993</v>
      </c>
      <c r="M164" s="1" t="s">
        <v>139</v>
      </c>
      <c r="N164" s="87" t="s">
        <v>118</v>
      </c>
    </row>
    <row r="165" spans="2:14">
      <c r="B165" s="23"/>
      <c r="D165" s="134"/>
      <c r="G165" s="1" t="s">
        <v>16</v>
      </c>
      <c r="H165" s="3">
        <f>DASHBOARD!$D$59</f>
        <v>0.23960000000000001</v>
      </c>
      <c r="I165" s="1">
        <v>1</v>
      </c>
      <c r="J165" s="53">
        <f>ROUNDUP(I155/8,0)+(ROUNDUP(I160/8,0)+ROUNDUP(I161/8,0)+ROUNDUP(I162/8,0))*(100/DASHBOARD!$D$121)</f>
        <v>7.3829787234042552</v>
      </c>
      <c r="K165" s="53"/>
      <c r="L165" s="4">
        <f t="shared" si="11"/>
        <v>1.7689617021276596</v>
      </c>
      <c r="M165" s="1" t="s">
        <v>140</v>
      </c>
      <c r="N165" s="87" t="s">
        <v>119</v>
      </c>
    </row>
    <row r="166" spans="2:14">
      <c r="B166" s="23"/>
      <c r="D166" s="134"/>
      <c r="G166" s="1" t="s">
        <v>10</v>
      </c>
      <c r="H166" s="3">
        <f>DASHBOARD!$D$60</f>
        <v>1.7004999999999999</v>
      </c>
      <c r="I166" s="1">
        <v>1</v>
      </c>
      <c r="J166" s="53">
        <f>2*SUM(I160:I162)/8</f>
        <v>2.9888551165146904</v>
      </c>
      <c r="K166" s="53"/>
      <c r="L166" s="4">
        <f t="shared" si="11"/>
        <v>5.082548125633231</v>
      </c>
      <c r="M166" s="1" t="s">
        <v>139</v>
      </c>
      <c r="N166" s="87" t="s">
        <v>119</v>
      </c>
    </row>
    <row r="167" spans="2:14">
      <c r="B167" s="23"/>
      <c r="D167" s="134"/>
      <c r="G167" s="1" t="s">
        <v>28</v>
      </c>
      <c r="H167" s="3">
        <f>DASHBOARD!$D$75</f>
        <v>12.16</v>
      </c>
      <c r="I167" s="1">
        <v>1</v>
      </c>
      <c r="J167" s="1">
        <v>100</v>
      </c>
      <c r="K167" s="53"/>
      <c r="L167" s="4">
        <f t="shared" si="11"/>
        <v>1216</v>
      </c>
      <c r="N167" s="87" t="s">
        <v>141</v>
      </c>
    </row>
    <row r="168" spans="2:14">
      <c r="B168" s="23"/>
      <c r="D168" s="134"/>
      <c r="G168" s="1" t="s">
        <v>29</v>
      </c>
      <c r="H168" s="3">
        <f>DASHBOARD!$D$76</f>
        <v>0.72</v>
      </c>
      <c r="I168" s="1">
        <v>1</v>
      </c>
      <c r="J168" s="1">
        <v>100</v>
      </c>
      <c r="K168" s="53"/>
      <c r="L168" s="4">
        <f t="shared" si="11"/>
        <v>72</v>
      </c>
      <c r="N168" s="87" t="s">
        <v>142</v>
      </c>
    </row>
    <row r="169" spans="2:14">
      <c r="B169" s="23"/>
      <c r="D169" s="134"/>
      <c r="F169" s="2">
        <f>C9</f>
        <v>2.8000000000000001E-2</v>
      </c>
      <c r="G169" s="42" t="s">
        <v>14</v>
      </c>
      <c r="H169" s="3">
        <f>DASHBOARD!D35</f>
        <v>24.612000000000002</v>
      </c>
      <c r="I169" s="1">
        <f>DASHBOARD!D150*(100/60)*(8/7)</f>
        <v>7.6190476190476186</v>
      </c>
      <c r="J169" s="1">
        <v>1</v>
      </c>
      <c r="K169" s="53">
        <f>D155*F169*I169*J169</f>
        <v>0.21333333333333332</v>
      </c>
      <c r="L169" s="4">
        <f>H169*I169*J169</f>
        <v>187.52</v>
      </c>
      <c r="M169" s="1" t="s">
        <v>50</v>
      </c>
      <c r="N169" s="87" t="s">
        <v>133</v>
      </c>
    </row>
    <row r="170" spans="2:14">
      <c r="B170" s="23"/>
      <c r="D170" s="134"/>
      <c r="G170" s="42" t="s">
        <v>31</v>
      </c>
      <c r="H170" s="3">
        <f>DASHBOARD!D44</f>
        <v>48</v>
      </c>
      <c r="I170" s="11">
        <f>SUM(I174:I176)*(1/100)</f>
        <v>0.17669706180344477</v>
      </c>
      <c r="J170" s="1">
        <v>1</v>
      </c>
      <c r="K170" s="53">
        <f>D155*F169*I170*J170</f>
        <v>4.9475177304964535E-3</v>
      </c>
      <c r="L170" s="4">
        <f t="shared" ref="L170:L181" si="12">H170*I170*J170</f>
        <v>8.4814589665653486</v>
      </c>
      <c r="M170" s="1" t="s">
        <v>136</v>
      </c>
      <c r="N170" s="87" t="s">
        <v>115</v>
      </c>
    </row>
    <row r="171" spans="2:14">
      <c r="B171" s="23"/>
      <c r="D171" s="134"/>
      <c r="G171" s="42" t="s">
        <v>32</v>
      </c>
      <c r="H171" s="3">
        <f>DASHBOARD!D49</f>
        <v>58.847999999999999</v>
      </c>
      <c r="I171" s="11">
        <f>SUM(I174:I176)*(1/10)</f>
        <v>1.7669706180344478</v>
      </c>
      <c r="J171" s="1">
        <v>1</v>
      </c>
      <c r="K171" s="53">
        <f>D155*F169*I171*J171</f>
        <v>4.9475177304964542E-2</v>
      </c>
      <c r="L171" s="4">
        <f t="shared" si="12"/>
        <v>103.98268693009118</v>
      </c>
      <c r="M171" s="1" t="s">
        <v>137</v>
      </c>
      <c r="N171" s="87" t="s">
        <v>134</v>
      </c>
    </row>
    <row r="172" spans="2:14">
      <c r="B172" s="23"/>
      <c r="D172" s="134"/>
      <c r="G172" s="42" t="s">
        <v>33</v>
      </c>
      <c r="H172" s="3">
        <f>DASHBOARD!D50</f>
        <v>39</v>
      </c>
      <c r="I172" s="11">
        <f>SUM(I174:I176)*(1/33)</f>
        <v>0.53544564182862053</v>
      </c>
      <c r="J172" s="1">
        <v>1</v>
      </c>
      <c r="K172" s="53">
        <f>D155*F169*I172*J172</f>
        <v>1.4992477971201375E-2</v>
      </c>
      <c r="L172" s="4">
        <f t="shared" si="12"/>
        <v>20.882380031316202</v>
      </c>
      <c r="M172" s="1" t="s">
        <v>138</v>
      </c>
      <c r="N172" s="87" t="s">
        <v>115</v>
      </c>
    </row>
    <row r="173" spans="2:14">
      <c r="B173" s="23"/>
      <c r="D173" s="134"/>
      <c r="G173" s="42" t="s">
        <v>34</v>
      </c>
      <c r="H173" s="3">
        <f>DASHBOARD!D51</f>
        <v>43.199999999999996</v>
      </c>
      <c r="I173" s="1">
        <f>SUM(I174:I176)*(1/100)</f>
        <v>0.17669706180344477</v>
      </c>
      <c r="J173" s="1">
        <v>1</v>
      </c>
      <c r="K173" s="53">
        <f>D155*F169*I173*J173</f>
        <v>4.9475177304964535E-3</v>
      </c>
      <c r="L173" s="4">
        <f t="shared" si="12"/>
        <v>7.6333130699088132</v>
      </c>
      <c r="M173" s="1" t="s">
        <v>136</v>
      </c>
      <c r="N173" s="87" t="s">
        <v>135</v>
      </c>
    </row>
    <row r="174" spans="2:14">
      <c r="B174" s="23"/>
      <c r="D174" s="134"/>
      <c r="F174" s="2" t="s">
        <v>451</v>
      </c>
      <c r="G174" s="42" t="s">
        <v>27</v>
      </c>
      <c r="H174" s="3">
        <f>DASHBOARD!D39</f>
        <v>30</v>
      </c>
      <c r="I174" s="52">
        <f>(DASHBOARD!$D$151*100/60)*(8/7)</f>
        <v>5.7142857142857135</v>
      </c>
      <c r="J174" s="1">
        <v>1</v>
      </c>
      <c r="K174" s="53">
        <f>D155*F169*I174*J174</f>
        <v>0.15999999999999998</v>
      </c>
      <c r="L174" s="4">
        <f t="shared" si="12"/>
        <v>171.42857142857142</v>
      </c>
      <c r="M174" s="1" t="s">
        <v>48</v>
      </c>
      <c r="N174" s="87" t="s">
        <v>115</v>
      </c>
    </row>
    <row r="175" spans="2:14">
      <c r="B175" s="23"/>
      <c r="D175" s="134"/>
      <c r="F175" s="2" t="s">
        <v>452</v>
      </c>
      <c r="G175" s="42" t="s">
        <v>27</v>
      </c>
      <c r="H175" s="3">
        <f>DASHBOARD!D39</f>
        <v>30</v>
      </c>
      <c r="I175" s="52">
        <f>(DASHBOARD!$D$152*100/60)*(8/7)</f>
        <v>2.43161094224924</v>
      </c>
      <c r="J175" s="1">
        <v>1</v>
      </c>
      <c r="K175" s="53">
        <f>D155*F169*I175*J175</f>
        <v>6.8085106382978725E-2</v>
      </c>
      <c r="L175" s="4">
        <f t="shared" si="12"/>
        <v>72.948328267477194</v>
      </c>
      <c r="M175" s="1" t="s">
        <v>49</v>
      </c>
      <c r="N175" s="87" t="s">
        <v>115</v>
      </c>
    </row>
    <row r="176" spans="2:14">
      <c r="B176" s="23"/>
      <c r="D176" s="134"/>
      <c r="F176" s="2" t="s">
        <v>453</v>
      </c>
      <c r="G176" s="66" t="s">
        <v>27</v>
      </c>
      <c r="H176" s="3">
        <f>DASHBOARD!D39</f>
        <v>30</v>
      </c>
      <c r="I176" s="1">
        <f>(DASHBOARD!D153*100)/60*(8/7)</f>
        <v>9.5238095238095237</v>
      </c>
      <c r="J176" s="1">
        <v>1</v>
      </c>
      <c r="K176" s="53">
        <f>D155*F169*I176*J176</f>
        <v>0.26666666666666666</v>
      </c>
      <c r="L176" s="4">
        <f t="shared" si="12"/>
        <v>285.71428571428572</v>
      </c>
      <c r="M176" s="27" t="s">
        <v>171</v>
      </c>
      <c r="N176" s="87" t="s">
        <v>115</v>
      </c>
    </row>
    <row r="177" spans="2:14">
      <c r="B177" s="23"/>
      <c r="D177" s="134"/>
      <c r="G177" s="1" t="s">
        <v>41</v>
      </c>
      <c r="H177" s="3">
        <f>DASHBOARD!D57</f>
        <v>3.95</v>
      </c>
      <c r="I177" s="1">
        <v>1</v>
      </c>
      <c r="J177" s="53">
        <f>2*SUM(I174:I176)/8</f>
        <v>4.4174265450861192</v>
      </c>
      <c r="K177" s="53"/>
      <c r="L177" s="4">
        <f t="shared" si="12"/>
        <v>17.448834853090172</v>
      </c>
      <c r="M177" s="1" t="s">
        <v>139</v>
      </c>
      <c r="N177" s="87" t="s">
        <v>117</v>
      </c>
    </row>
    <row r="178" spans="2:14">
      <c r="B178" s="23"/>
      <c r="D178" s="134"/>
      <c r="G178" s="1" t="s">
        <v>9</v>
      </c>
      <c r="H178" s="3">
        <f>DASHBOARD!D58</f>
        <v>13.95</v>
      </c>
      <c r="I178" s="1">
        <v>1</v>
      </c>
      <c r="J178" s="53">
        <f>2*SUM(I174:I176)/8</f>
        <v>4.4174265450861192</v>
      </c>
      <c r="K178" s="53"/>
      <c r="L178" s="4">
        <f t="shared" si="12"/>
        <v>61.623100303951361</v>
      </c>
      <c r="M178" s="1" t="s">
        <v>139</v>
      </c>
      <c r="N178" s="87" t="s">
        <v>118</v>
      </c>
    </row>
    <row r="179" spans="2:14">
      <c r="B179" s="23"/>
      <c r="D179" s="134"/>
      <c r="G179" s="1" t="s">
        <v>16</v>
      </c>
      <c r="H179" s="3">
        <f>DASHBOARD!D59</f>
        <v>0.23960000000000001</v>
      </c>
      <c r="I179" s="1">
        <v>1</v>
      </c>
      <c r="J179" s="53">
        <f>ROUNDUP(I169/8,0)+(ROUNDUP(I174/8,0)+ROUNDUP(I175/8,0)+ROUNDUP(I176/8,0))*(100/DASHBOARD!$D$121)</f>
        <v>9.5106382978723403</v>
      </c>
      <c r="K179" s="53"/>
      <c r="L179" s="4">
        <f t="shared" si="12"/>
        <v>2.2787489361702127</v>
      </c>
      <c r="M179" s="1" t="s">
        <v>140</v>
      </c>
      <c r="N179" s="87" t="s">
        <v>119</v>
      </c>
    </row>
    <row r="180" spans="2:14">
      <c r="B180" s="23"/>
      <c r="D180" s="134"/>
      <c r="G180" s="1" t="s">
        <v>10</v>
      </c>
      <c r="H180" s="3">
        <f>DASHBOARD!D60</f>
        <v>1.7004999999999999</v>
      </c>
      <c r="I180" s="1">
        <v>1</v>
      </c>
      <c r="J180" s="53">
        <f>2*SUM(I174:I176)/8</f>
        <v>4.4174265450861192</v>
      </c>
      <c r="K180" s="53"/>
      <c r="L180" s="4">
        <f t="shared" si="12"/>
        <v>7.5118338399189453</v>
      </c>
      <c r="M180" s="1" t="s">
        <v>139</v>
      </c>
      <c r="N180" s="87" t="s">
        <v>119</v>
      </c>
    </row>
    <row r="181" spans="2:14">
      <c r="B181" s="23"/>
      <c r="D181" s="134"/>
      <c r="G181" s="1" t="s">
        <v>28</v>
      </c>
      <c r="H181" s="3">
        <f>DASHBOARD!D75</f>
        <v>12.16</v>
      </c>
      <c r="I181" s="1">
        <v>1</v>
      </c>
      <c r="J181" s="1">
        <v>100</v>
      </c>
      <c r="K181" s="53"/>
      <c r="L181" s="4">
        <f t="shared" si="12"/>
        <v>1216</v>
      </c>
      <c r="N181" s="87" t="s">
        <v>141</v>
      </c>
    </row>
    <row r="182" spans="2:14" ht="16.350000000000001" customHeight="1">
      <c r="B182" s="23"/>
      <c r="D182" s="134"/>
      <c r="G182" s="1" t="s">
        <v>29</v>
      </c>
      <c r="H182" s="3">
        <f>DASHBOARD!D76</f>
        <v>0.72</v>
      </c>
      <c r="I182" s="1">
        <v>1</v>
      </c>
      <c r="J182" s="1">
        <v>100</v>
      </c>
      <c r="K182" s="53"/>
      <c r="L182" s="4">
        <f t="shared" si="11"/>
        <v>72</v>
      </c>
      <c r="N182" s="87" t="s">
        <v>142</v>
      </c>
    </row>
    <row r="183" spans="2:14" ht="42.75" customHeight="1">
      <c r="B183" s="23"/>
      <c r="C183" s="26">
        <f>C6</f>
        <v>332.74765375137628</v>
      </c>
      <c r="D183" s="140">
        <f>(1-D155)*DASHBOARD!$D$139</f>
        <v>0</v>
      </c>
      <c r="E183" s="21" t="s">
        <v>338</v>
      </c>
      <c r="F183" s="139">
        <f>1-F197</f>
        <v>0.89261680665599996</v>
      </c>
      <c r="G183" s="42" t="s">
        <v>14</v>
      </c>
      <c r="H183" s="3">
        <f>DASHBOARD!$D$35</f>
        <v>24.612000000000002</v>
      </c>
      <c r="I183" s="11">
        <f>DASHBOARD!$D$150*(100/60)*(8/7)</f>
        <v>7.6190476190476186</v>
      </c>
      <c r="J183" s="11">
        <v>1</v>
      </c>
      <c r="K183" s="11">
        <f>D183*F183*I183*J183</f>
        <v>0</v>
      </c>
      <c r="L183" s="4">
        <f>H183*I183*J183/DASHBOARD!$D$136</f>
        <v>46.88</v>
      </c>
      <c r="M183" s="1" t="s">
        <v>50</v>
      </c>
      <c r="N183" s="87" t="s">
        <v>133</v>
      </c>
    </row>
    <row r="184" spans="2:14">
      <c r="B184" s="23"/>
      <c r="D184" s="141" t="s">
        <v>416</v>
      </c>
      <c r="E184" s="21" t="s">
        <v>333</v>
      </c>
      <c r="F184" s="133" t="s">
        <v>332</v>
      </c>
      <c r="G184" s="42" t="s">
        <v>31</v>
      </c>
      <c r="H184" s="3">
        <f>DASHBOARD!$D$44</f>
        <v>48</v>
      </c>
      <c r="I184" s="11">
        <f>SUM(I188:I190)*(1/100)</f>
        <v>0.13860182370820667</v>
      </c>
      <c r="J184" s="11">
        <v>1</v>
      </c>
      <c r="K184" s="11">
        <f>D183*F183*I184*J184</f>
        <v>0</v>
      </c>
      <c r="L184" s="4">
        <f>H184*I184*J184/DASHBOARD!$D$136</f>
        <v>1.6632218844984801</v>
      </c>
      <c r="M184" s="1" t="s">
        <v>136</v>
      </c>
      <c r="N184" s="87" t="s">
        <v>115</v>
      </c>
    </row>
    <row r="185" spans="2:14">
      <c r="B185" s="23"/>
      <c r="D185" s="141" t="s">
        <v>330</v>
      </c>
      <c r="E185" s="137" t="s">
        <v>339</v>
      </c>
      <c r="G185" s="42" t="s">
        <v>32</v>
      </c>
      <c r="H185" s="3">
        <f>DASHBOARD!$D$49</f>
        <v>58.847999999999999</v>
      </c>
      <c r="I185" s="11">
        <f>SUM(I188:I190)*(1/10)</f>
        <v>1.3860182370820668</v>
      </c>
      <c r="J185" s="11">
        <v>1</v>
      </c>
      <c r="K185" s="11">
        <f>D183*F183*I185*J185</f>
        <v>0</v>
      </c>
      <c r="L185" s="4">
        <f>H185*I185*J185/DASHBOARD!$D$136</f>
        <v>20.391100303951369</v>
      </c>
      <c r="M185" s="1" t="s">
        <v>137</v>
      </c>
      <c r="N185" s="87" t="s">
        <v>134</v>
      </c>
    </row>
    <row r="186" spans="2:14">
      <c r="B186" s="23"/>
      <c r="D186" s="140"/>
      <c r="E186" s="137" t="s">
        <v>340</v>
      </c>
      <c r="G186" s="42" t="s">
        <v>33</v>
      </c>
      <c r="H186" s="3">
        <f>DASHBOARD!$D$50</f>
        <v>39</v>
      </c>
      <c r="I186" s="11">
        <f>SUM(I188:I190)*(1/33)</f>
        <v>0.42000552638850508</v>
      </c>
      <c r="J186" s="11">
        <v>1</v>
      </c>
      <c r="K186" s="11">
        <f>D183*F183*I186*J186</f>
        <v>0</v>
      </c>
      <c r="L186" s="4">
        <f>H186*I186*J186/DASHBOARD!$D$136</f>
        <v>4.0950538822879246</v>
      </c>
      <c r="M186" s="1" t="s">
        <v>138</v>
      </c>
      <c r="N186" s="87" t="s">
        <v>115</v>
      </c>
    </row>
    <row r="187" spans="2:14">
      <c r="B187" s="23"/>
      <c r="D187" s="140"/>
      <c r="E187" s="137" t="s">
        <v>335</v>
      </c>
      <c r="G187" s="42" t="s">
        <v>34</v>
      </c>
      <c r="H187" s="3">
        <f>DASHBOARD!$D$51</f>
        <v>43.199999999999996</v>
      </c>
      <c r="I187" s="11">
        <f>SUM(I188:I190)*(1/100)</f>
        <v>0.13860182370820667</v>
      </c>
      <c r="J187" s="11">
        <v>1</v>
      </c>
      <c r="K187" s="11">
        <f>D183*F183*I187*J187</f>
        <v>0</v>
      </c>
      <c r="L187" s="4">
        <f>H187*I187*J187/DASHBOARD!$D$136</f>
        <v>1.4968996960486318</v>
      </c>
      <c r="M187" s="1" t="s">
        <v>136</v>
      </c>
      <c r="N187" s="87" t="s">
        <v>135</v>
      </c>
    </row>
    <row r="188" spans="2:14">
      <c r="B188" s="23"/>
      <c r="D188" s="140"/>
      <c r="E188" s="138" t="s">
        <v>341</v>
      </c>
      <c r="F188" s="2" t="s">
        <v>451</v>
      </c>
      <c r="G188" s="42" t="s">
        <v>27</v>
      </c>
      <c r="H188" s="3">
        <f>DASHBOARD!$D$39</f>
        <v>30</v>
      </c>
      <c r="I188" s="52">
        <f>((DASHBOARD!$D$151+1)*100/60)*(8/7)</f>
        <v>7.6190476190476186</v>
      </c>
      <c r="J188" s="11">
        <v>1</v>
      </c>
      <c r="K188" s="11">
        <f>D183*F183*I188*J188</f>
        <v>0</v>
      </c>
      <c r="L188" s="4">
        <f>H188*I188*J188/DASHBOARD!$D$136</f>
        <v>57.142857142857139</v>
      </c>
      <c r="M188" s="1" t="s">
        <v>342</v>
      </c>
      <c r="N188" s="87" t="s">
        <v>115</v>
      </c>
    </row>
    <row r="189" spans="2:14" ht="15" customHeight="1">
      <c r="B189" s="23"/>
      <c r="D189" s="140"/>
      <c r="E189" s="143">
        <v>1</v>
      </c>
      <c r="F189" s="2" t="s">
        <v>452</v>
      </c>
      <c r="G189" s="42" t="s">
        <v>27</v>
      </c>
      <c r="H189" s="3">
        <f>DASHBOARD!$D$39</f>
        <v>30</v>
      </c>
      <c r="I189" s="52">
        <f>(DASHBOARD!$D$152*100/60)*(8/7)</f>
        <v>2.43161094224924</v>
      </c>
      <c r="J189" s="11">
        <v>1</v>
      </c>
      <c r="K189" s="11">
        <f>D183*F183*I189*J189</f>
        <v>0</v>
      </c>
      <c r="L189" s="4">
        <f>H189*I189*J189/DASHBOARD!$D$136</f>
        <v>18.237082066869299</v>
      </c>
      <c r="M189" s="1" t="s">
        <v>49</v>
      </c>
      <c r="N189" s="87" t="s">
        <v>115</v>
      </c>
    </row>
    <row r="190" spans="2:14">
      <c r="B190" s="23"/>
      <c r="D190" s="140"/>
      <c r="F190" s="2" t="s">
        <v>453</v>
      </c>
      <c r="G190" s="66" t="s">
        <v>27</v>
      </c>
      <c r="H190" s="3">
        <f>DASHBOARD!$D$39</f>
        <v>30</v>
      </c>
      <c r="I190" s="11">
        <f>(DASHBOARD!$D$154*100)/60*(8/7)</f>
        <v>3.8095238095238093</v>
      </c>
      <c r="J190" s="11">
        <v>1</v>
      </c>
      <c r="K190" s="11">
        <f>D183*F183*I190*J190</f>
        <v>0</v>
      </c>
      <c r="L190" s="4">
        <f t="shared" ref="L190" si="13">H190*I190*J190</f>
        <v>114.28571428571428</v>
      </c>
      <c r="M190" s="27" t="s">
        <v>77</v>
      </c>
      <c r="N190" s="87" t="s">
        <v>115</v>
      </c>
    </row>
    <row r="191" spans="2:14">
      <c r="B191" s="23"/>
      <c r="D191" s="140"/>
      <c r="G191" s="1" t="s">
        <v>41</v>
      </c>
      <c r="H191" s="3">
        <f>DASHBOARD!$D$57</f>
        <v>3.95</v>
      </c>
      <c r="I191" s="11">
        <v>1</v>
      </c>
      <c r="J191" s="55">
        <f>2*SUM(I188:I190)/8</f>
        <v>3.4650455927051667</v>
      </c>
      <c r="K191" s="55"/>
      <c r="L191" s="4">
        <f>H191*I191*J191/DASHBOARD!$D$136</f>
        <v>3.4217325227963524</v>
      </c>
      <c r="M191" s="1" t="s">
        <v>139</v>
      </c>
      <c r="N191" s="87" t="s">
        <v>117</v>
      </c>
    </row>
    <row r="192" spans="2:14">
      <c r="B192" s="23"/>
      <c r="D192" s="140"/>
      <c r="G192" s="1" t="s">
        <v>9</v>
      </c>
      <c r="H192" s="3">
        <f>DASHBOARD!$D$58</f>
        <v>13.95</v>
      </c>
      <c r="I192" s="11">
        <v>1</v>
      </c>
      <c r="J192" s="55">
        <f>2*SUM(I188:I190)/8</f>
        <v>3.4650455927051667</v>
      </c>
      <c r="K192" s="55"/>
      <c r="L192" s="4">
        <f>H192*I192*J192/DASHBOARD!$D$136</f>
        <v>12.084346504559267</v>
      </c>
      <c r="M192" s="1" t="s">
        <v>139</v>
      </c>
      <c r="N192" s="87" t="s">
        <v>118</v>
      </c>
    </row>
    <row r="193" spans="2:14">
      <c r="B193" s="23"/>
      <c r="D193" s="140"/>
      <c r="G193" s="1" t="s">
        <v>16</v>
      </c>
      <c r="H193" s="3">
        <f>DASHBOARD!$D$59</f>
        <v>0.23960000000000001</v>
      </c>
      <c r="I193" s="11">
        <v>1</v>
      </c>
      <c r="J193" s="55">
        <f>ROUNDUP(I183/8,0)+(ROUNDUP(I188/8,0)+ROUNDUP(I189/8,0)+ROUNDUP(I190/8,0))*(100/DASHBOARD!$D$121)</f>
        <v>7.3829787234042552</v>
      </c>
      <c r="K193" s="55"/>
      <c r="L193" s="4">
        <f>H193*I193*J193/DASHBOARD!$D$136</f>
        <v>0.44224042553191489</v>
      </c>
      <c r="M193" s="1" t="s">
        <v>140</v>
      </c>
      <c r="N193" s="87" t="s">
        <v>119</v>
      </c>
    </row>
    <row r="194" spans="2:14">
      <c r="B194" s="23"/>
      <c r="D194" s="140"/>
      <c r="G194" s="1" t="s">
        <v>10</v>
      </c>
      <c r="H194" s="3">
        <f>DASHBOARD!$D$60</f>
        <v>1.7004999999999999</v>
      </c>
      <c r="I194" s="11">
        <v>1</v>
      </c>
      <c r="J194" s="55">
        <f>2*SUM(I188:I190)/8</f>
        <v>3.4650455927051667</v>
      </c>
      <c r="K194" s="55"/>
      <c r="L194" s="4">
        <f>H194*I194*J194/DASHBOARD!$D$136</f>
        <v>1.4730775075987839</v>
      </c>
      <c r="M194" s="1" t="s">
        <v>139</v>
      </c>
      <c r="N194" s="87" t="s">
        <v>119</v>
      </c>
    </row>
    <row r="195" spans="2:14">
      <c r="B195" s="23"/>
      <c r="D195" s="140"/>
      <c r="G195" s="1" t="s">
        <v>28</v>
      </c>
      <c r="H195" s="3">
        <f>DASHBOARD!$D$75</f>
        <v>12.16</v>
      </c>
      <c r="I195" s="11">
        <v>1</v>
      </c>
      <c r="J195" s="11">
        <v>100</v>
      </c>
      <c r="K195" s="11"/>
      <c r="L195" s="4">
        <f>H195*I195*J195/DASHBOARD!$D$136</f>
        <v>304</v>
      </c>
      <c r="N195" s="87" t="s">
        <v>141</v>
      </c>
    </row>
    <row r="196" spans="2:14">
      <c r="B196" s="23"/>
      <c r="C196" s="3"/>
      <c r="D196" s="140"/>
      <c r="G196" s="1" t="s">
        <v>29</v>
      </c>
      <c r="H196" s="3">
        <f>DASHBOARD!$D$76</f>
        <v>0.72</v>
      </c>
      <c r="I196" s="11">
        <v>1</v>
      </c>
      <c r="J196" s="11">
        <v>100</v>
      </c>
      <c r="K196" s="11"/>
      <c r="L196" s="4">
        <f>H196*I196*J196/DASHBOARD!$D$136</f>
        <v>18</v>
      </c>
      <c r="N196" s="87" t="s">
        <v>142</v>
      </c>
    </row>
    <row r="197" spans="2:14">
      <c r="B197" s="23"/>
      <c r="C197" s="3"/>
      <c r="D197" s="140"/>
      <c r="F197" s="139">
        <f>1-(F155^DASHBOARD!$D$136)</f>
        <v>0.10738319334400004</v>
      </c>
      <c r="G197" s="42" t="s">
        <v>14</v>
      </c>
      <c r="H197" s="3">
        <f>DASHBOARD!$D$35</f>
        <v>24.612000000000002</v>
      </c>
      <c r="I197" s="11">
        <f>DASHBOARD!$D$150*(100/60)*(8/7)</f>
        <v>7.6190476190476186</v>
      </c>
      <c r="J197" s="11">
        <v>1</v>
      </c>
      <c r="K197" s="11">
        <f>D183*F197*I197*J197</f>
        <v>0</v>
      </c>
      <c r="L197" s="4">
        <f>H197*I197*J197/DASHBOARD!$D$136</f>
        <v>46.88</v>
      </c>
      <c r="M197" s="1" t="s">
        <v>50</v>
      </c>
      <c r="N197" s="87" t="s">
        <v>133</v>
      </c>
    </row>
    <row r="198" spans="2:14">
      <c r="B198" s="23"/>
      <c r="C198" s="3"/>
      <c r="D198" s="140"/>
      <c r="F198" s="133" t="s">
        <v>331</v>
      </c>
      <c r="G198" s="42" t="s">
        <v>31</v>
      </c>
      <c r="H198" s="3">
        <f>DASHBOARD!$D$44</f>
        <v>48</v>
      </c>
      <c r="I198" s="11">
        <f>SUM(I202:I204)*(1/100)</f>
        <v>0.19574468085106383</v>
      </c>
      <c r="J198" s="11">
        <v>1</v>
      </c>
      <c r="K198" s="11">
        <f>D183*F197*I198*J198</f>
        <v>0</v>
      </c>
      <c r="L198" s="4">
        <f>H198*I198*J198/DASHBOARD!$D$136</f>
        <v>2.3489361702127658</v>
      </c>
      <c r="M198" s="1" t="s">
        <v>136</v>
      </c>
      <c r="N198" s="87" t="s">
        <v>115</v>
      </c>
    </row>
    <row r="199" spans="2:14">
      <c r="B199" s="23"/>
      <c r="C199" s="3"/>
      <c r="D199" s="140"/>
      <c r="G199" s="42" t="s">
        <v>32</v>
      </c>
      <c r="H199" s="3">
        <f>DASHBOARD!$D$49</f>
        <v>58.847999999999999</v>
      </c>
      <c r="I199" s="11">
        <f>SUM(I202:I204)*(1/10)</f>
        <v>1.9574468085106382</v>
      </c>
      <c r="J199" s="11">
        <v>1</v>
      </c>
      <c r="K199" s="11">
        <f>D183*F197*I199*J199</f>
        <v>0</v>
      </c>
      <c r="L199" s="4">
        <f>H199*I199*J199/DASHBOARD!$D$136</f>
        <v>28.79795744680851</v>
      </c>
      <c r="M199" s="1" t="s">
        <v>137</v>
      </c>
      <c r="N199" s="87" t="s">
        <v>134</v>
      </c>
    </row>
    <row r="200" spans="2:14">
      <c r="B200" s="23"/>
      <c r="D200" s="140"/>
      <c r="G200" s="42" t="s">
        <v>33</v>
      </c>
      <c r="H200" s="3">
        <f>DASHBOARD!$D$50</f>
        <v>39</v>
      </c>
      <c r="I200" s="11">
        <f>SUM(I202:I204)*(1/33)</f>
        <v>0.59316569954867826</v>
      </c>
      <c r="J200" s="11">
        <v>1</v>
      </c>
      <c r="K200" s="11">
        <f>D183*F197*I200*J200</f>
        <v>0</v>
      </c>
      <c r="L200" s="4">
        <f>H200*I200*J200/DASHBOARD!$D$136</f>
        <v>5.7833655705996128</v>
      </c>
      <c r="M200" s="1" t="s">
        <v>138</v>
      </c>
      <c r="N200" s="87" t="s">
        <v>115</v>
      </c>
    </row>
    <row r="201" spans="2:14">
      <c r="B201" s="23"/>
      <c r="D201" s="140"/>
      <c r="G201" s="42" t="s">
        <v>34</v>
      </c>
      <c r="H201" s="3">
        <f>DASHBOARD!$D$51</f>
        <v>43.199999999999996</v>
      </c>
      <c r="I201" s="11">
        <f>SUM(I202:I204)*(1/100)</f>
        <v>0.19574468085106383</v>
      </c>
      <c r="J201" s="11">
        <v>1</v>
      </c>
      <c r="K201" s="11">
        <f>D183*F197*I201*J201</f>
        <v>0</v>
      </c>
      <c r="L201" s="4">
        <f>H201*I201*J201/DASHBOARD!$D$136</f>
        <v>2.114042553191489</v>
      </c>
      <c r="M201" s="1" t="s">
        <v>136</v>
      </c>
      <c r="N201" s="87" t="s">
        <v>135</v>
      </c>
    </row>
    <row r="202" spans="2:14">
      <c r="B202" s="23"/>
      <c r="D202" s="140"/>
      <c r="F202" s="2" t="s">
        <v>451</v>
      </c>
      <c r="G202" s="42" t="s">
        <v>27</v>
      </c>
      <c r="H202" s="3">
        <f>DASHBOARD!$D$39</f>
        <v>30</v>
      </c>
      <c r="I202" s="52">
        <f>((DASHBOARD!$D$151+1)*100/60)*(8/7)</f>
        <v>7.6190476190476186</v>
      </c>
      <c r="J202" s="11">
        <v>1</v>
      </c>
      <c r="K202" s="11">
        <f>D183*F197*I202*J202</f>
        <v>0</v>
      </c>
      <c r="L202" s="4">
        <f>H202*I202*J202/DASHBOARD!$D$136</f>
        <v>57.142857142857139</v>
      </c>
      <c r="M202" s="1" t="s">
        <v>342</v>
      </c>
      <c r="N202" s="87" t="s">
        <v>115</v>
      </c>
    </row>
    <row r="203" spans="2:14">
      <c r="B203" s="23"/>
      <c r="D203" s="140"/>
      <c r="F203" s="2" t="s">
        <v>452</v>
      </c>
      <c r="G203" s="42" t="s">
        <v>27</v>
      </c>
      <c r="H203" s="3">
        <f>DASHBOARD!$D$39</f>
        <v>30</v>
      </c>
      <c r="I203" s="52">
        <f>(DASHBOARD!$D$152*100/60)*(8/7)</f>
        <v>2.43161094224924</v>
      </c>
      <c r="J203" s="11">
        <v>1</v>
      </c>
      <c r="K203" s="11">
        <f>D183*F197*I203*J203</f>
        <v>0</v>
      </c>
      <c r="L203" s="4">
        <f>H203*I203*J203/DASHBOARD!$D$136</f>
        <v>18.237082066869299</v>
      </c>
      <c r="M203" s="1" t="s">
        <v>49</v>
      </c>
      <c r="N203" s="87" t="s">
        <v>115</v>
      </c>
    </row>
    <row r="204" spans="2:14">
      <c r="B204" s="23"/>
      <c r="D204" s="140"/>
      <c r="F204" s="2" t="s">
        <v>453</v>
      </c>
      <c r="G204" s="66" t="s">
        <v>27</v>
      </c>
      <c r="H204" s="3">
        <f>DASHBOARD!$D$39</f>
        <v>30</v>
      </c>
      <c r="I204" s="11">
        <f>(DASHBOARD!$D$153*100)/60*(8/7)</f>
        <v>9.5238095238095237</v>
      </c>
      <c r="J204" s="11">
        <v>1</v>
      </c>
      <c r="K204" s="11">
        <f>D183*F197*I204*J204</f>
        <v>0</v>
      </c>
      <c r="L204" s="4">
        <f>H204*I204*J204*0</f>
        <v>0</v>
      </c>
      <c r="M204" s="27" t="s">
        <v>345</v>
      </c>
      <c r="N204" s="87" t="s">
        <v>115</v>
      </c>
    </row>
    <row r="205" spans="2:14">
      <c r="B205" s="23"/>
      <c r="D205" s="140"/>
      <c r="G205" s="1" t="s">
        <v>41</v>
      </c>
      <c r="H205" s="3">
        <f>DASHBOARD!$D$57</f>
        <v>3.95</v>
      </c>
      <c r="I205" s="11">
        <v>1</v>
      </c>
      <c r="J205" s="55">
        <f>2*SUM(I202:I204)/8</f>
        <v>4.8936170212765955</v>
      </c>
      <c r="K205" s="55"/>
      <c r="L205" s="4">
        <f>H205*I205*J205/DASHBOARD!$D$136</f>
        <v>4.832446808510638</v>
      </c>
      <c r="M205" s="1" t="s">
        <v>139</v>
      </c>
      <c r="N205" s="87" t="s">
        <v>117</v>
      </c>
    </row>
    <row r="206" spans="2:14">
      <c r="B206" s="23"/>
      <c r="D206" s="140"/>
      <c r="G206" s="1" t="s">
        <v>9</v>
      </c>
      <c r="H206" s="3">
        <f>DASHBOARD!$D$58</f>
        <v>13.95</v>
      </c>
      <c r="I206" s="11">
        <v>1</v>
      </c>
      <c r="J206" s="55">
        <f>2*SUM(I202:I204)/8</f>
        <v>4.8936170212765955</v>
      </c>
      <c r="K206" s="55"/>
      <c r="L206" s="4">
        <f>H206*I206*J206/DASHBOARD!$D$136</f>
        <v>17.066489361702125</v>
      </c>
      <c r="M206" s="1" t="s">
        <v>139</v>
      </c>
      <c r="N206" s="87" t="s">
        <v>118</v>
      </c>
    </row>
    <row r="207" spans="2:14">
      <c r="B207" s="23"/>
      <c r="D207" s="140"/>
      <c r="G207" s="1" t="s">
        <v>16</v>
      </c>
      <c r="H207" s="3">
        <f>DASHBOARD!$D$59</f>
        <v>0.23960000000000001</v>
      </c>
      <c r="I207" s="11">
        <v>1</v>
      </c>
      <c r="J207" s="55">
        <f>ROUNDUP(I197/8,0)+(ROUNDUP(I202/8,0)+ROUNDUP(I203/8,0)+ROUNDUP(I204/8,0))*(100/DASHBOARD!$D$121)</f>
        <v>9.5106382978723403</v>
      </c>
      <c r="K207" s="55"/>
      <c r="L207" s="4">
        <f>H207*I207*J207/DASHBOARD!$D$136</f>
        <v>0.56968723404255317</v>
      </c>
      <c r="M207" s="1" t="s">
        <v>140</v>
      </c>
      <c r="N207" s="87" t="s">
        <v>119</v>
      </c>
    </row>
    <row r="208" spans="2:14">
      <c r="B208" s="23"/>
      <c r="D208" s="140"/>
      <c r="G208" s="1" t="s">
        <v>10</v>
      </c>
      <c r="H208" s="3">
        <f>DASHBOARD!$D$60</f>
        <v>1.7004999999999999</v>
      </c>
      <c r="I208" s="11">
        <v>1</v>
      </c>
      <c r="J208" s="55">
        <f>2*SUM(I202:I204)/8</f>
        <v>4.8936170212765955</v>
      </c>
      <c r="K208" s="55"/>
      <c r="L208" s="4">
        <f>H208*I208*J208/DASHBOARD!$D$136</f>
        <v>2.0803989361702127</v>
      </c>
      <c r="M208" s="1" t="s">
        <v>139</v>
      </c>
      <c r="N208" s="87" t="s">
        <v>119</v>
      </c>
    </row>
    <row r="209" spans="2:14">
      <c r="B209" s="23"/>
      <c r="D209" s="140"/>
      <c r="G209" s="1" t="s">
        <v>28</v>
      </c>
      <c r="H209" s="3">
        <f>DASHBOARD!$D$75</f>
        <v>12.16</v>
      </c>
      <c r="I209" s="11">
        <v>1</v>
      </c>
      <c r="J209" s="11">
        <v>100</v>
      </c>
      <c r="K209" s="11"/>
      <c r="L209" s="4">
        <f>H209*I209*J209/DASHBOARD!$D$136</f>
        <v>304</v>
      </c>
      <c r="N209" s="87" t="s">
        <v>141</v>
      </c>
    </row>
    <row r="210" spans="2:14" ht="16.350000000000001" customHeight="1">
      <c r="B210" s="23"/>
      <c r="D210" s="140"/>
      <c r="G210" s="1" t="s">
        <v>29</v>
      </c>
      <c r="H210" s="3">
        <f>DASHBOARD!$D$76</f>
        <v>0.72</v>
      </c>
      <c r="I210" s="11">
        <v>1</v>
      </c>
      <c r="J210" s="11">
        <v>100</v>
      </c>
      <c r="K210" s="11"/>
      <c r="L210" s="4">
        <f>H210*I210*J210/DASHBOARD!$D$136</f>
        <v>18</v>
      </c>
      <c r="N210" s="87" t="s">
        <v>142</v>
      </c>
    </row>
    <row r="211" spans="2:14" ht="16.350000000000001" customHeight="1">
      <c r="B211" s="23"/>
      <c r="D211" s="140"/>
      <c r="E211" s="21" t="s">
        <v>338</v>
      </c>
      <c r="F211" s="139">
        <f>1-F225</f>
        <v>0.7392515613658226</v>
      </c>
      <c r="G211" s="42" t="s">
        <v>14</v>
      </c>
      <c r="H211" s="3">
        <f>DASHBOARD!$D$35</f>
        <v>24.612000000000002</v>
      </c>
      <c r="I211" s="11">
        <f>DASHBOARD!$D$150*(100/60)*(8/7)</f>
        <v>7.6190476190476186</v>
      </c>
      <c r="J211" s="11">
        <v>1</v>
      </c>
      <c r="K211" s="11">
        <f>D183*E217*F211*I211*J211</f>
        <v>0</v>
      </c>
      <c r="L211" s="4">
        <f>H211*I211*J211</f>
        <v>187.52</v>
      </c>
      <c r="M211" s="1" t="s">
        <v>50</v>
      </c>
      <c r="N211" s="87" t="s">
        <v>133</v>
      </c>
    </row>
    <row r="212" spans="2:14" ht="16.350000000000001" customHeight="1">
      <c r="B212" s="23"/>
      <c r="D212" s="140"/>
      <c r="E212" s="21" t="s">
        <v>334</v>
      </c>
      <c r="F212" s="133" t="s">
        <v>332</v>
      </c>
      <c r="G212" s="42" t="s">
        <v>31</v>
      </c>
      <c r="H212" s="3">
        <f>DASHBOARD!$D$44</f>
        <v>48</v>
      </c>
      <c r="I212" s="11">
        <f>SUM(I216:I218)*(1/100)</f>
        <v>0.11955420466058762</v>
      </c>
      <c r="J212" s="11">
        <v>1</v>
      </c>
      <c r="K212" s="11">
        <f>D183*E217*F211*I212*J212</f>
        <v>0</v>
      </c>
      <c r="L212" s="4">
        <f>H212*I212*J212</f>
        <v>5.7386018237082057</v>
      </c>
      <c r="M212" s="1" t="s">
        <v>136</v>
      </c>
      <c r="N212" s="87" t="s">
        <v>115</v>
      </c>
    </row>
    <row r="213" spans="2:14" ht="16.350000000000001" customHeight="1">
      <c r="B213" s="23"/>
      <c r="D213" s="140"/>
      <c r="E213" s="137" t="s">
        <v>339</v>
      </c>
      <c r="G213" s="42" t="s">
        <v>32</v>
      </c>
      <c r="H213" s="3">
        <f>DASHBOARD!$D$49</f>
        <v>58.847999999999999</v>
      </c>
      <c r="I213" s="11">
        <f>SUM(I216:I218)*(1/10)</f>
        <v>1.1955420466058762</v>
      </c>
      <c r="J213" s="11">
        <v>1</v>
      </c>
      <c r="K213" s="11">
        <f>D183*E217*F211*I213*J213</f>
        <v>0</v>
      </c>
      <c r="L213" s="4">
        <f>H213*I213*J213</f>
        <v>70.355258358662596</v>
      </c>
      <c r="M213" s="1" t="s">
        <v>137</v>
      </c>
      <c r="N213" s="87" t="s">
        <v>134</v>
      </c>
    </row>
    <row r="214" spans="2:14" ht="16.350000000000001" customHeight="1">
      <c r="B214" s="23"/>
      <c r="D214" s="140"/>
      <c r="E214" s="137" t="s">
        <v>340</v>
      </c>
      <c r="G214" s="42" t="s">
        <v>33</v>
      </c>
      <c r="H214" s="3">
        <f>DASHBOARD!$D$50</f>
        <v>39</v>
      </c>
      <c r="I214" s="11">
        <f>SUM(I216:I218)*(1/33)</f>
        <v>0.36228546866844735</v>
      </c>
      <c r="J214" s="11">
        <v>1</v>
      </c>
      <c r="K214" s="11">
        <f>D183*E217*F211*I214*J214</f>
        <v>0</v>
      </c>
      <c r="L214" s="4">
        <f>H214*I214*J214</f>
        <v>14.129133278069446</v>
      </c>
      <c r="M214" s="1" t="s">
        <v>138</v>
      </c>
      <c r="N214" s="87" t="s">
        <v>115</v>
      </c>
    </row>
    <row r="215" spans="2:14" ht="16.350000000000001" customHeight="1">
      <c r="B215" s="23"/>
      <c r="D215" s="140"/>
      <c r="E215" s="137" t="s">
        <v>336</v>
      </c>
      <c r="G215" s="42" t="s">
        <v>34</v>
      </c>
      <c r="H215" s="3">
        <f>DASHBOARD!$D$51</f>
        <v>43.199999999999996</v>
      </c>
      <c r="I215" s="11">
        <f>SUM(I216:I218)*(1/100)</f>
        <v>0.11955420466058762</v>
      </c>
      <c r="J215" s="11">
        <v>1</v>
      </c>
      <c r="K215" s="11">
        <f>D183*E217*F211*I215*J215</f>
        <v>0</v>
      </c>
      <c r="L215" s="4">
        <f>H215*I215*J215</f>
        <v>5.1647416413373852</v>
      </c>
      <c r="M215" s="1" t="s">
        <v>136</v>
      </c>
      <c r="N215" s="87" t="s">
        <v>135</v>
      </c>
    </row>
    <row r="216" spans="2:14" ht="16.350000000000001" customHeight="1">
      <c r="B216" s="23"/>
      <c r="D216" s="140"/>
      <c r="E216" s="138" t="s">
        <v>341</v>
      </c>
      <c r="F216" s="2" t="s">
        <v>451</v>
      </c>
      <c r="G216" s="42" t="s">
        <v>27</v>
      </c>
      <c r="H216" s="3">
        <f>DASHBOARD!$D$39</f>
        <v>30</v>
      </c>
      <c r="I216" s="52">
        <f>(DASHBOARD!$D$151*100/60)*(8/7)</f>
        <v>5.7142857142857135</v>
      </c>
      <c r="J216" s="11">
        <v>1</v>
      </c>
      <c r="K216" s="11">
        <f>D183*E217*F211*I216*J216</f>
        <v>0</v>
      </c>
      <c r="L216" s="4">
        <f t="shared" ref="L216:L238" si="14">H216*I216*J216</f>
        <v>171.42857142857142</v>
      </c>
      <c r="M216" s="1" t="s">
        <v>48</v>
      </c>
      <c r="N216" s="87" t="s">
        <v>115</v>
      </c>
    </row>
    <row r="217" spans="2:14" ht="16.350000000000001" customHeight="1">
      <c r="B217" s="23"/>
      <c r="D217" s="140"/>
      <c r="E217" s="142">
        <f>F197</f>
        <v>0.10738319334400004</v>
      </c>
      <c r="F217" s="2" t="s">
        <v>452</v>
      </c>
      <c r="G217" s="42" t="s">
        <v>27</v>
      </c>
      <c r="H217" s="3">
        <f>DASHBOARD!$D$39</f>
        <v>30</v>
      </c>
      <c r="I217" s="52">
        <f>(DASHBOARD!$D$152*100/60)*(8/7)</f>
        <v>2.43161094224924</v>
      </c>
      <c r="J217" s="11">
        <v>1</v>
      </c>
      <c r="K217" s="11">
        <f>D183*E217*F211*I217*J217</f>
        <v>0</v>
      </c>
      <c r="L217" s="4">
        <f t="shared" si="14"/>
        <v>72.948328267477194</v>
      </c>
      <c r="M217" s="1" t="s">
        <v>49</v>
      </c>
      <c r="N217" s="87" t="s">
        <v>115</v>
      </c>
    </row>
    <row r="218" spans="2:14" ht="16.350000000000001" customHeight="1">
      <c r="B218" s="23"/>
      <c r="D218" s="140"/>
      <c r="E218" s="137"/>
      <c r="F218" s="2" t="s">
        <v>453</v>
      </c>
      <c r="G218" s="66" t="s">
        <v>27</v>
      </c>
      <c r="H218" s="3">
        <f>DASHBOARD!$D$39</f>
        <v>30</v>
      </c>
      <c r="I218" s="11">
        <f>(DASHBOARD!$D$154*100)/60*(8/7)</f>
        <v>3.8095238095238093</v>
      </c>
      <c r="J218" s="11">
        <v>1</v>
      </c>
      <c r="K218" s="11">
        <f>D183*E217*F211*I218*J218</f>
        <v>0</v>
      </c>
      <c r="L218" s="4">
        <f t="shared" si="14"/>
        <v>114.28571428571428</v>
      </c>
      <c r="M218" s="27" t="s">
        <v>77</v>
      </c>
      <c r="N218" s="87" t="s">
        <v>115</v>
      </c>
    </row>
    <row r="219" spans="2:14" ht="16.350000000000001" customHeight="1">
      <c r="B219" s="23"/>
      <c r="D219" s="140"/>
      <c r="G219" s="1" t="s">
        <v>41</v>
      </c>
      <c r="H219" s="3">
        <f>DASHBOARD!$D$57</f>
        <v>3.95</v>
      </c>
      <c r="I219" s="11">
        <v>1</v>
      </c>
      <c r="J219" s="55">
        <f>2*SUM(I216:I218)/8</f>
        <v>2.9888551165146904</v>
      </c>
      <c r="K219" s="55"/>
      <c r="L219" s="4">
        <f t="shared" si="14"/>
        <v>11.805977710233028</v>
      </c>
      <c r="M219" s="1" t="s">
        <v>139</v>
      </c>
      <c r="N219" s="87" t="s">
        <v>117</v>
      </c>
    </row>
    <row r="220" spans="2:14" ht="16.350000000000001" customHeight="1">
      <c r="B220" s="23"/>
      <c r="D220" s="140"/>
      <c r="G220" s="1" t="s">
        <v>9</v>
      </c>
      <c r="H220" s="3">
        <f>DASHBOARD!$D$58</f>
        <v>13.95</v>
      </c>
      <c r="I220" s="11">
        <v>1</v>
      </c>
      <c r="J220" s="55">
        <f>2*SUM(I216:I218)/8</f>
        <v>2.9888551165146904</v>
      </c>
      <c r="K220" s="55"/>
      <c r="L220" s="4">
        <f t="shared" si="14"/>
        <v>41.69452887537993</v>
      </c>
      <c r="M220" s="1" t="s">
        <v>139</v>
      </c>
      <c r="N220" s="87" t="s">
        <v>118</v>
      </c>
    </row>
    <row r="221" spans="2:14" ht="16.350000000000001" customHeight="1">
      <c r="B221" s="23"/>
      <c r="D221" s="140"/>
      <c r="G221" s="1" t="s">
        <v>16</v>
      </c>
      <c r="H221" s="3">
        <f>DASHBOARD!$D$59</f>
        <v>0.23960000000000001</v>
      </c>
      <c r="I221" s="11">
        <v>1</v>
      </c>
      <c r="J221" s="55">
        <f>ROUNDUP(I211/8,0)+(ROUNDUP(I216/8,0)+ROUNDUP(I217/8,0)+ROUNDUP(I218/8,0))*(100/DASHBOARD!$D$121)</f>
        <v>7.3829787234042552</v>
      </c>
      <c r="K221" s="55"/>
      <c r="L221" s="4">
        <f t="shared" si="14"/>
        <v>1.7689617021276596</v>
      </c>
      <c r="M221" s="1" t="s">
        <v>140</v>
      </c>
      <c r="N221" s="87" t="s">
        <v>119</v>
      </c>
    </row>
    <row r="222" spans="2:14" ht="16.350000000000001" customHeight="1">
      <c r="B222" s="23"/>
      <c r="D222" s="140"/>
      <c r="G222" s="1" t="s">
        <v>10</v>
      </c>
      <c r="H222" s="3">
        <f>DASHBOARD!$D$60</f>
        <v>1.7004999999999999</v>
      </c>
      <c r="I222" s="11">
        <v>1</v>
      </c>
      <c r="J222" s="55">
        <f>2*SUM(I216:I218)/8</f>
        <v>2.9888551165146904</v>
      </c>
      <c r="K222" s="55"/>
      <c r="L222" s="4">
        <f t="shared" si="14"/>
        <v>5.082548125633231</v>
      </c>
      <c r="M222" s="1" t="s">
        <v>139</v>
      </c>
      <c r="N222" s="87" t="s">
        <v>119</v>
      </c>
    </row>
    <row r="223" spans="2:14" ht="16.350000000000001" customHeight="1">
      <c r="B223" s="23"/>
      <c r="D223" s="140"/>
      <c r="G223" s="1" t="s">
        <v>28</v>
      </c>
      <c r="H223" s="3">
        <f>DASHBOARD!$D$75</f>
        <v>12.16</v>
      </c>
      <c r="I223" s="11">
        <v>1</v>
      </c>
      <c r="J223" s="11">
        <v>100</v>
      </c>
      <c r="K223" s="11"/>
      <c r="L223" s="4">
        <f t="shared" si="14"/>
        <v>1216</v>
      </c>
      <c r="N223" s="87" t="s">
        <v>141</v>
      </c>
    </row>
    <row r="224" spans="2:14" ht="16.350000000000001" customHeight="1">
      <c r="B224" s="23"/>
      <c r="D224" s="140"/>
      <c r="G224" s="1" t="s">
        <v>29</v>
      </c>
      <c r="H224" s="3">
        <f>DASHBOARD!$D$76</f>
        <v>0.72</v>
      </c>
      <c r="I224" s="11">
        <v>1</v>
      </c>
      <c r="J224" s="11">
        <v>100</v>
      </c>
      <c r="K224" s="11"/>
      <c r="L224" s="4">
        <f t="shared" si="14"/>
        <v>72</v>
      </c>
      <c r="N224" s="87" t="s">
        <v>142</v>
      </c>
    </row>
    <row r="225" spans="2:14" ht="16.350000000000001" customHeight="1">
      <c r="B225" s="23"/>
      <c r="D225" s="140"/>
      <c r="F225" s="139">
        <f>DASHBOARD!$D$99/E217</f>
        <v>0.2607484386341774</v>
      </c>
      <c r="G225" s="42" t="s">
        <v>14</v>
      </c>
      <c r="H225" s="3">
        <f>DASHBOARD!$D$35</f>
        <v>24.612000000000002</v>
      </c>
      <c r="I225" s="11">
        <f>DASHBOARD!$D$150*(100/60)*(8/7)</f>
        <v>7.6190476190476186</v>
      </c>
      <c r="J225" s="11">
        <v>1</v>
      </c>
      <c r="K225" s="11">
        <f>D183*E217*F225*I225*J225</f>
        <v>0</v>
      </c>
      <c r="L225" s="4">
        <f t="shared" si="14"/>
        <v>187.52</v>
      </c>
      <c r="M225" s="1" t="s">
        <v>50</v>
      </c>
      <c r="N225" s="87" t="s">
        <v>133</v>
      </c>
    </row>
    <row r="226" spans="2:14" ht="16.350000000000001" customHeight="1">
      <c r="B226" s="23"/>
      <c r="D226" s="140"/>
      <c r="F226" s="133" t="s">
        <v>331</v>
      </c>
      <c r="G226" s="42" t="s">
        <v>31</v>
      </c>
      <c r="H226" s="3">
        <f>DASHBOARD!$D$44</f>
        <v>48</v>
      </c>
      <c r="I226" s="11">
        <f>SUM(I230:I232)*(1/100)</f>
        <v>0.17669706180344477</v>
      </c>
      <c r="J226" s="11">
        <v>1</v>
      </c>
      <c r="K226" s="11">
        <f>D183*E217*F225*I226*J226</f>
        <v>0</v>
      </c>
      <c r="L226" s="4">
        <f t="shared" si="14"/>
        <v>8.4814589665653486</v>
      </c>
      <c r="M226" s="1" t="s">
        <v>136</v>
      </c>
      <c r="N226" s="87" t="s">
        <v>115</v>
      </c>
    </row>
    <row r="227" spans="2:14" ht="16.350000000000001" customHeight="1">
      <c r="B227" s="23"/>
      <c r="D227" s="140"/>
      <c r="G227" s="42" t="s">
        <v>32</v>
      </c>
      <c r="H227" s="3">
        <f>DASHBOARD!$D$49</f>
        <v>58.847999999999999</v>
      </c>
      <c r="I227" s="11">
        <f>SUM(I230:I232)*(1/10)</f>
        <v>1.7669706180344478</v>
      </c>
      <c r="J227" s="11">
        <v>1</v>
      </c>
      <c r="K227" s="11">
        <f>D183*E217*F225*I227*J227</f>
        <v>0</v>
      </c>
      <c r="L227" s="4">
        <f t="shared" si="14"/>
        <v>103.98268693009118</v>
      </c>
      <c r="M227" s="1" t="s">
        <v>137</v>
      </c>
      <c r="N227" s="87" t="s">
        <v>134</v>
      </c>
    </row>
    <row r="228" spans="2:14" ht="16.350000000000001" customHeight="1">
      <c r="B228" s="23"/>
      <c r="D228" s="140"/>
      <c r="G228" s="42" t="s">
        <v>33</v>
      </c>
      <c r="H228" s="3">
        <f>DASHBOARD!$D$50</f>
        <v>39</v>
      </c>
      <c r="I228" s="11">
        <f>SUM(I230:I232)*(1/33)</f>
        <v>0.53544564182862053</v>
      </c>
      <c r="J228" s="11">
        <v>1</v>
      </c>
      <c r="K228" s="11">
        <f>D183*E217*F225*I228*J228</f>
        <v>0</v>
      </c>
      <c r="L228" s="4">
        <f t="shared" si="14"/>
        <v>20.882380031316202</v>
      </c>
      <c r="M228" s="1" t="s">
        <v>138</v>
      </c>
      <c r="N228" s="87" t="s">
        <v>115</v>
      </c>
    </row>
    <row r="229" spans="2:14" ht="16.350000000000001" customHeight="1">
      <c r="B229" s="23"/>
      <c r="D229" s="140"/>
      <c r="G229" s="42" t="s">
        <v>34</v>
      </c>
      <c r="H229" s="3">
        <f>DASHBOARD!$D$51</f>
        <v>43.199999999999996</v>
      </c>
      <c r="I229" s="11">
        <f>SUM(I230:I232)*(1/100)</f>
        <v>0.17669706180344477</v>
      </c>
      <c r="J229" s="11">
        <v>1</v>
      </c>
      <c r="K229" s="11">
        <f>D183*E217*F225*I229*J229</f>
        <v>0</v>
      </c>
      <c r="L229" s="4">
        <f t="shared" si="14"/>
        <v>7.6333130699088132</v>
      </c>
      <c r="M229" s="1" t="s">
        <v>136</v>
      </c>
      <c r="N229" s="87" t="s">
        <v>135</v>
      </c>
    </row>
    <row r="230" spans="2:14" ht="16.350000000000001" customHeight="1">
      <c r="B230" s="23"/>
      <c r="D230" s="140"/>
      <c r="F230" s="2" t="s">
        <v>451</v>
      </c>
      <c r="G230" s="42" t="s">
        <v>27</v>
      </c>
      <c r="H230" s="3">
        <f>DASHBOARD!$D$39</f>
        <v>30</v>
      </c>
      <c r="I230" s="52">
        <f>(DASHBOARD!$D$151*100/60)*(8/7)</f>
        <v>5.7142857142857135</v>
      </c>
      <c r="J230" s="11">
        <v>1</v>
      </c>
      <c r="K230" s="11">
        <f>D183*E217*F225*I230*J230</f>
        <v>0</v>
      </c>
      <c r="L230" s="4">
        <f t="shared" si="14"/>
        <v>171.42857142857142</v>
      </c>
      <c r="M230" s="1" t="s">
        <v>48</v>
      </c>
      <c r="N230" s="87" t="s">
        <v>115</v>
      </c>
    </row>
    <row r="231" spans="2:14" ht="16.350000000000001" customHeight="1">
      <c r="B231" s="23"/>
      <c r="D231" s="140"/>
      <c r="F231" s="2" t="s">
        <v>452</v>
      </c>
      <c r="G231" s="42" t="s">
        <v>27</v>
      </c>
      <c r="H231" s="3">
        <f>DASHBOARD!$D$39</f>
        <v>30</v>
      </c>
      <c r="I231" s="52">
        <f>(DASHBOARD!$D$152*100/60)*(8/7)</f>
        <v>2.43161094224924</v>
      </c>
      <c r="J231" s="11">
        <v>1</v>
      </c>
      <c r="K231" s="11">
        <f>D183*E217*F225*I231*J231</f>
        <v>0</v>
      </c>
      <c r="L231" s="4">
        <f t="shared" si="14"/>
        <v>72.948328267477194</v>
      </c>
      <c r="M231" s="1" t="s">
        <v>49</v>
      </c>
      <c r="N231" s="87" t="s">
        <v>115</v>
      </c>
    </row>
    <row r="232" spans="2:14" ht="16.350000000000001" customHeight="1">
      <c r="B232" s="23"/>
      <c r="D232" s="140"/>
      <c r="F232" s="2" t="s">
        <v>453</v>
      </c>
      <c r="G232" s="66" t="s">
        <v>27</v>
      </c>
      <c r="H232" s="3">
        <f>DASHBOARD!$D$39</f>
        <v>30</v>
      </c>
      <c r="I232" s="11">
        <f>(DASHBOARD!$D$153*100)/60*(8/7)</f>
        <v>9.5238095238095237</v>
      </c>
      <c r="J232" s="11">
        <v>1</v>
      </c>
      <c r="K232" s="11">
        <f>D183*E217*F225*I232*J232</f>
        <v>0</v>
      </c>
      <c r="L232" s="4">
        <f t="shared" si="14"/>
        <v>285.71428571428572</v>
      </c>
      <c r="M232" s="27" t="s">
        <v>171</v>
      </c>
      <c r="N232" s="87" t="s">
        <v>115</v>
      </c>
    </row>
    <row r="233" spans="2:14" ht="16.350000000000001" customHeight="1">
      <c r="B233" s="23"/>
      <c r="D233" s="140"/>
      <c r="G233" s="1" t="s">
        <v>41</v>
      </c>
      <c r="H233" s="3">
        <f>DASHBOARD!$D$57</f>
        <v>3.95</v>
      </c>
      <c r="I233" s="11">
        <v>1</v>
      </c>
      <c r="J233" s="55">
        <f>2*SUM(I230:I232)/8</f>
        <v>4.4174265450861192</v>
      </c>
      <c r="K233" s="55"/>
      <c r="L233" s="4">
        <f t="shared" si="14"/>
        <v>17.448834853090172</v>
      </c>
      <c r="M233" s="1" t="s">
        <v>139</v>
      </c>
      <c r="N233" s="87" t="s">
        <v>117</v>
      </c>
    </row>
    <row r="234" spans="2:14" ht="16.350000000000001" customHeight="1">
      <c r="B234" s="23"/>
      <c r="D234" s="140"/>
      <c r="G234" s="1" t="s">
        <v>9</v>
      </c>
      <c r="H234" s="3">
        <f>DASHBOARD!$D$58</f>
        <v>13.95</v>
      </c>
      <c r="I234" s="11">
        <v>1</v>
      </c>
      <c r="J234" s="55">
        <f>2*SUM(I230:I232)/8</f>
        <v>4.4174265450861192</v>
      </c>
      <c r="K234" s="55"/>
      <c r="L234" s="4">
        <f t="shared" si="14"/>
        <v>61.623100303951361</v>
      </c>
      <c r="M234" s="1" t="s">
        <v>139</v>
      </c>
      <c r="N234" s="87" t="s">
        <v>118</v>
      </c>
    </row>
    <row r="235" spans="2:14" ht="16.350000000000001" customHeight="1">
      <c r="B235" s="23"/>
      <c r="D235" s="140"/>
      <c r="G235" s="1" t="s">
        <v>16</v>
      </c>
      <c r="H235" s="3">
        <f>DASHBOARD!$D$59</f>
        <v>0.23960000000000001</v>
      </c>
      <c r="I235" s="11">
        <v>1</v>
      </c>
      <c r="J235" s="55">
        <f>ROUNDUP(I225/8,0)+(ROUNDUP(I230/8,0)+ROUNDUP(I231/8,0)+ROUNDUP(I232/8,0))*(100/DASHBOARD!$D$121)</f>
        <v>9.5106382978723403</v>
      </c>
      <c r="K235" s="55"/>
      <c r="L235" s="4">
        <f t="shared" si="14"/>
        <v>2.2787489361702127</v>
      </c>
      <c r="M235" s="1" t="s">
        <v>140</v>
      </c>
      <c r="N235" s="87" t="s">
        <v>119</v>
      </c>
    </row>
    <row r="236" spans="2:14" ht="16.350000000000001" customHeight="1">
      <c r="B236" s="23"/>
      <c r="D236" s="140"/>
      <c r="G236" s="1" t="s">
        <v>10</v>
      </c>
      <c r="H236" s="3">
        <f>DASHBOARD!$D$60</f>
        <v>1.7004999999999999</v>
      </c>
      <c r="I236" s="11">
        <v>1</v>
      </c>
      <c r="J236" s="55">
        <f>2*SUM(I230:I232)/8</f>
        <v>4.4174265450861192</v>
      </c>
      <c r="K236" s="55"/>
      <c r="L236" s="4">
        <f t="shared" si="14"/>
        <v>7.5118338399189453</v>
      </c>
      <c r="M236" s="1" t="s">
        <v>139</v>
      </c>
      <c r="N236" s="87" t="s">
        <v>119</v>
      </c>
    </row>
    <row r="237" spans="2:14" ht="16.350000000000001" customHeight="1">
      <c r="B237" s="23"/>
      <c r="D237" s="140"/>
      <c r="G237" s="1" t="s">
        <v>28</v>
      </c>
      <c r="H237" s="3">
        <f>DASHBOARD!$D$75</f>
        <v>12.16</v>
      </c>
      <c r="I237" s="11">
        <v>1</v>
      </c>
      <c r="J237" s="11">
        <v>100</v>
      </c>
      <c r="K237" s="11"/>
      <c r="L237" s="4">
        <f t="shared" si="14"/>
        <v>1216</v>
      </c>
      <c r="N237" s="87" t="s">
        <v>141</v>
      </c>
    </row>
    <row r="238" spans="2:14" ht="16.350000000000001" customHeight="1">
      <c r="B238" s="23"/>
      <c r="D238" s="140"/>
      <c r="G238" s="1" t="s">
        <v>29</v>
      </c>
      <c r="H238" s="3">
        <f>DASHBOARD!$D$76</f>
        <v>0.72</v>
      </c>
      <c r="I238" s="11">
        <v>1</v>
      </c>
      <c r="J238" s="11">
        <v>100</v>
      </c>
      <c r="K238" s="11"/>
      <c r="L238" s="4">
        <f t="shared" si="14"/>
        <v>72</v>
      </c>
      <c r="N238" s="87" t="s">
        <v>142</v>
      </c>
    </row>
    <row r="239" spans="2:14" ht="21" customHeight="1">
      <c r="B239" s="23"/>
      <c r="C239" s="26">
        <f>C6</f>
        <v>332.74765375137628</v>
      </c>
      <c r="D239" s="134">
        <f>DASHBOARD!$D$111*DASHBOARD!$D$139</f>
        <v>0</v>
      </c>
      <c r="E239" s="21" t="s">
        <v>401</v>
      </c>
      <c r="F239" s="2">
        <v>1</v>
      </c>
      <c r="G239" s="42" t="s">
        <v>14</v>
      </c>
      <c r="H239" s="3">
        <f>DASHBOARD!$D$35</f>
        <v>24.612000000000002</v>
      </c>
      <c r="I239" s="11">
        <f>DASHBOARD!$D$150*(100/60)*(8/7)</f>
        <v>7.6190476190476186</v>
      </c>
      <c r="J239" s="11">
        <v>1</v>
      </c>
      <c r="L239" s="4">
        <f>H239*I239*J239*D239</f>
        <v>0</v>
      </c>
      <c r="M239" s="1" t="s">
        <v>50</v>
      </c>
      <c r="N239" s="87" t="s">
        <v>133</v>
      </c>
    </row>
    <row r="240" spans="2:14">
      <c r="B240" s="23"/>
      <c r="D240" s="135" t="s">
        <v>374</v>
      </c>
      <c r="F240" s="133" t="s">
        <v>406</v>
      </c>
      <c r="G240" s="42" t="s">
        <v>31</v>
      </c>
      <c r="H240" s="3">
        <f>DASHBOARD!$D$44</f>
        <v>48</v>
      </c>
      <c r="I240" s="11">
        <f>SUM(I244:I246)*(1/100)</f>
        <v>7.6190476190476183E-2</v>
      </c>
      <c r="J240" s="11">
        <v>1</v>
      </c>
      <c r="L240" s="4">
        <f>H240*I240*J240*D239</f>
        <v>0</v>
      </c>
      <c r="M240" s="1" t="s">
        <v>136</v>
      </c>
      <c r="N240" s="87" t="s">
        <v>115</v>
      </c>
    </row>
    <row r="241" spans="2:14">
      <c r="B241" s="23"/>
      <c r="D241" s="134"/>
      <c r="F241" s="133" t="s">
        <v>403</v>
      </c>
      <c r="G241" s="42" t="s">
        <v>32</v>
      </c>
      <c r="H241" s="3">
        <f>DASHBOARD!$D$49</f>
        <v>58.847999999999999</v>
      </c>
      <c r="I241" s="11">
        <f>SUM(I244:I246)*(1/10)</f>
        <v>0.76190476190476186</v>
      </c>
      <c r="J241" s="11">
        <v>1</v>
      </c>
      <c r="L241" s="4">
        <f>H241*I241*J241*D239</f>
        <v>0</v>
      </c>
      <c r="M241" s="1" t="s">
        <v>137</v>
      </c>
      <c r="N241" s="87" t="s">
        <v>134</v>
      </c>
    </row>
    <row r="242" spans="2:14">
      <c r="B242" s="23"/>
      <c r="D242" s="134"/>
      <c r="F242" s="133" t="s">
        <v>404</v>
      </c>
      <c r="G242" s="42" t="s">
        <v>33</v>
      </c>
      <c r="H242" s="3">
        <f>DASHBOARD!$D$50</f>
        <v>39</v>
      </c>
      <c r="I242" s="11">
        <f>SUM(I244:I246)*(1/33)</f>
        <v>0.23088023088023088</v>
      </c>
      <c r="J242" s="11">
        <v>1</v>
      </c>
      <c r="L242" s="4">
        <f>H242*I242*J242*D239</f>
        <v>0</v>
      </c>
      <c r="M242" s="1" t="s">
        <v>138</v>
      </c>
      <c r="N242" s="87" t="s">
        <v>115</v>
      </c>
    </row>
    <row r="243" spans="2:14">
      <c r="B243" s="23"/>
      <c r="D243" s="134"/>
      <c r="F243" s="133" t="s">
        <v>405</v>
      </c>
      <c r="G243" s="42" t="s">
        <v>34</v>
      </c>
      <c r="H243" s="3">
        <f>DASHBOARD!$D$51</f>
        <v>43.199999999999996</v>
      </c>
      <c r="I243" s="11">
        <f>SUM(I244:I246)*(1/100)</f>
        <v>7.6190476190476183E-2</v>
      </c>
      <c r="J243" s="11">
        <v>1</v>
      </c>
      <c r="L243" s="4">
        <f>H243*I243*J243*D239</f>
        <v>0</v>
      </c>
      <c r="M243" s="1" t="s">
        <v>136</v>
      </c>
      <c r="N243" s="87" t="s">
        <v>135</v>
      </c>
    </row>
    <row r="244" spans="2:14">
      <c r="B244" s="23"/>
      <c r="D244" s="134"/>
      <c r="F244" s="2" t="s">
        <v>451</v>
      </c>
      <c r="G244" s="42" t="s">
        <v>27</v>
      </c>
      <c r="H244" s="3">
        <f>DASHBOARD!$D$39</f>
        <v>30</v>
      </c>
      <c r="I244" s="11">
        <f>DASHBOARD!$D$114*(100/60)*(8/7)</f>
        <v>3.8095238095238093</v>
      </c>
      <c r="J244" s="11">
        <v>1</v>
      </c>
      <c r="L244" s="4">
        <f>H244*I244*J244*D239</f>
        <v>0</v>
      </c>
      <c r="M244" s="1" t="s">
        <v>411</v>
      </c>
      <c r="N244" s="87" t="s">
        <v>115</v>
      </c>
    </row>
    <row r="245" spans="2:14" ht="15" customHeight="1">
      <c r="B245" s="23"/>
      <c r="D245" s="134"/>
      <c r="F245" s="2" t="s">
        <v>405</v>
      </c>
      <c r="G245" s="42" t="s">
        <v>27</v>
      </c>
      <c r="H245" s="3">
        <f>DASHBOARD!$D$39</f>
        <v>30</v>
      </c>
      <c r="I245" s="11">
        <f>DASHBOARD!$D$115*(100/60)*(8/7)</f>
        <v>0</v>
      </c>
      <c r="J245" s="11">
        <v>1</v>
      </c>
      <c r="L245" s="4">
        <f>H245*I245*J245*D239</f>
        <v>0</v>
      </c>
      <c r="M245" s="1" t="s">
        <v>412</v>
      </c>
      <c r="N245" s="87" t="s">
        <v>115</v>
      </c>
    </row>
    <row r="246" spans="2:14">
      <c r="B246" s="23"/>
      <c r="D246" s="134"/>
      <c r="F246" s="2" t="s">
        <v>453</v>
      </c>
      <c r="G246" s="66" t="s">
        <v>27</v>
      </c>
      <c r="H246" s="3">
        <f>DASHBOARD!$D$39</f>
        <v>30</v>
      </c>
      <c r="I246" s="11">
        <f>DASHBOARD!$D$116*(100/60)*(8/7)</f>
        <v>3.8095238095238093</v>
      </c>
      <c r="J246" s="11">
        <v>1</v>
      </c>
      <c r="L246" s="4">
        <f>H246*I246*J246*D239</f>
        <v>0</v>
      </c>
      <c r="M246" s="160" t="s">
        <v>402</v>
      </c>
      <c r="N246" s="87" t="s">
        <v>115</v>
      </c>
    </row>
    <row r="247" spans="2:14">
      <c r="B247" s="23"/>
      <c r="D247" s="134"/>
      <c r="G247" s="1" t="s">
        <v>41</v>
      </c>
      <c r="H247" s="3">
        <f>DASHBOARD!$D$57</f>
        <v>3.95</v>
      </c>
      <c r="I247" s="11">
        <v>1</v>
      </c>
      <c r="J247" s="55">
        <f>2*SUM(I244:I246)/8</f>
        <v>1.9047619047619047</v>
      </c>
      <c r="L247" s="4">
        <f>H247*I247*J247*D239</f>
        <v>0</v>
      </c>
      <c r="M247" s="1" t="s">
        <v>139</v>
      </c>
      <c r="N247" s="87" t="s">
        <v>117</v>
      </c>
    </row>
    <row r="248" spans="2:14">
      <c r="B248" s="23"/>
      <c r="D248" s="134"/>
      <c r="G248" s="1" t="s">
        <v>9</v>
      </c>
      <c r="H248" s="3">
        <f>DASHBOARD!$D$58</f>
        <v>13.95</v>
      </c>
      <c r="I248" s="11">
        <v>1</v>
      </c>
      <c r="J248" s="55">
        <f>2*SUM(I244:I246)/8</f>
        <v>1.9047619047619047</v>
      </c>
      <c r="L248" s="4">
        <f>H248*I248*J248*D239</f>
        <v>0</v>
      </c>
      <c r="M248" s="1" t="s">
        <v>139</v>
      </c>
      <c r="N248" s="87" t="s">
        <v>118</v>
      </c>
    </row>
    <row r="249" spans="2:14">
      <c r="B249" s="23"/>
      <c r="D249" s="134"/>
      <c r="G249" s="1" t="s">
        <v>16</v>
      </c>
      <c r="H249" s="3">
        <f>DASHBOARD!$D$59</f>
        <v>0.23960000000000001</v>
      </c>
      <c r="I249" s="11">
        <v>1</v>
      </c>
      <c r="J249" s="55">
        <f>ROUNDUP(I239/8,0)+(ROUNDUP(I244/8,0)+ROUNDUP(I245/8,0)+ROUNDUP(I246/8,0))*(100/DASHBOARD!$D$121)</f>
        <v>5.2553191489361701</v>
      </c>
      <c r="L249" s="4">
        <f>H249*I249*J249*D239</f>
        <v>0</v>
      </c>
      <c r="M249" s="1" t="s">
        <v>140</v>
      </c>
      <c r="N249" s="87" t="s">
        <v>119</v>
      </c>
    </row>
    <row r="250" spans="2:14">
      <c r="B250" s="23"/>
      <c r="D250" s="134"/>
      <c r="G250" s="1" t="s">
        <v>10</v>
      </c>
      <c r="H250" s="3">
        <f>DASHBOARD!$D$60</f>
        <v>1.7004999999999999</v>
      </c>
      <c r="I250" s="11">
        <v>1</v>
      </c>
      <c r="J250" s="55">
        <f>2*SUM(I244:I246)/8</f>
        <v>1.9047619047619047</v>
      </c>
      <c r="L250" s="4">
        <f>H250*I250*J250*D239</f>
        <v>0</v>
      </c>
      <c r="M250" s="1" t="s">
        <v>139</v>
      </c>
      <c r="N250" s="87" t="s">
        <v>119</v>
      </c>
    </row>
    <row r="251" spans="2:14">
      <c r="B251" s="23"/>
      <c r="D251" s="134"/>
      <c r="G251" s="1" t="s">
        <v>407</v>
      </c>
      <c r="H251" s="3">
        <f>DASHBOARD!$D$73</f>
        <v>10</v>
      </c>
      <c r="I251" s="11">
        <v>1</v>
      </c>
      <c r="J251" s="11">
        <v>100</v>
      </c>
      <c r="L251" s="4">
        <f>H251*I251*J251*D239</f>
        <v>0</v>
      </c>
      <c r="M251" s="1" t="s">
        <v>415</v>
      </c>
      <c r="N251" s="87" t="s">
        <v>141</v>
      </c>
    </row>
    <row r="252" spans="2:14" ht="21" customHeight="1">
      <c r="B252" s="23"/>
      <c r="C252" s="26">
        <f>C6</f>
        <v>332.74765375137628</v>
      </c>
      <c r="D252" s="140">
        <f>DASHBOARD!$D$112*DASHBOARD!$D$139</f>
        <v>0</v>
      </c>
      <c r="E252" s="21" t="s">
        <v>413</v>
      </c>
      <c r="F252" s="2">
        <v>1</v>
      </c>
      <c r="G252" s="42" t="s">
        <v>14</v>
      </c>
      <c r="H252" s="3">
        <f>DASHBOARD!$D$35</f>
        <v>24.612000000000002</v>
      </c>
      <c r="I252" s="11">
        <f>DASHBOARD!$D$150*(100/60)*(8/7)</f>
        <v>7.6190476190476186</v>
      </c>
      <c r="J252" s="11">
        <v>1</v>
      </c>
      <c r="K252" s="11">
        <f>D239*I239*J239</f>
        <v>0</v>
      </c>
      <c r="L252" s="4">
        <f>H252*I252*J252*D252</f>
        <v>0</v>
      </c>
      <c r="M252" s="1" t="s">
        <v>50</v>
      </c>
      <c r="N252" s="87" t="s">
        <v>133</v>
      </c>
    </row>
    <row r="253" spans="2:14">
      <c r="B253" s="23"/>
      <c r="D253" s="141" t="s">
        <v>380</v>
      </c>
      <c r="F253" s="133" t="s">
        <v>406</v>
      </c>
      <c r="G253" s="42" t="s">
        <v>31</v>
      </c>
      <c r="H253" s="3">
        <f>DASHBOARD!$D$44</f>
        <v>48</v>
      </c>
      <c r="I253" s="11">
        <f>SUM(I257:I259)*(1/100)</f>
        <v>1.8285714285714287E-2</v>
      </c>
      <c r="J253" s="11">
        <v>1</v>
      </c>
      <c r="K253" s="11">
        <f>D239*I240*J240</f>
        <v>0</v>
      </c>
      <c r="L253" s="4">
        <f>H253*I253*J253*D252</f>
        <v>0</v>
      </c>
      <c r="M253" s="1" t="s">
        <v>136</v>
      </c>
      <c r="N253" s="87" t="s">
        <v>115</v>
      </c>
    </row>
    <row r="254" spans="2:14">
      <c r="B254" s="23"/>
      <c r="D254" s="140"/>
      <c r="F254" s="133" t="s">
        <v>403</v>
      </c>
      <c r="G254" s="42" t="s">
        <v>32</v>
      </c>
      <c r="H254" s="3">
        <f>DASHBOARD!$D$49</f>
        <v>58.847999999999999</v>
      </c>
      <c r="I254" s="11">
        <f>SUM(I257:I259)*(1/10)</f>
        <v>0.18285714285714288</v>
      </c>
      <c r="J254" s="11">
        <v>1</v>
      </c>
      <c r="K254" s="11">
        <f>D239*I241*J241</f>
        <v>0</v>
      </c>
      <c r="L254" s="4">
        <f>H254*I254*J254*D252</f>
        <v>0</v>
      </c>
      <c r="M254" s="1" t="s">
        <v>137</v>
      </c>
      <c r="N254" s="87" t="s">
        <v>134</v>
      </c>
    </row>
    <row r="255" spans="2:14">
      <c r="B255" s="23"/>
      <c r="D255" s="140"/>
      <c r="F255" s="133" t="s">
        <v>404</v>
      </c>
      <c r="G255" s="42" t="s">
        <v>33</v>
      </c>
      <c r="H255" s="3">
        <f>DASHBOARD!$D$50</f>
        <v>39</v>
      </c>
      <c r="I255" s="11">
        <f>SUM(I257:I259)*(1/33)</f>
        <v>5.5411255411255418E-2</v>
      </c>
      <c r="J255" s="11">
        <v>1</v>
      </c>
      <c r="K255" s="11">
        <f>D239*I242*J242</f>
        <v>0</v>
      </c>
      <c r="L255" s="4">
        <f>H255*I255*J255*D252</f>
        <v>0</v>
      </c>
      <c r="M255" s="1" t="s">
        <v>138</v>
      </c>
      <c r="N255" s="87" t="s">
        <v>115</v>
      </c>
    </row>
    <row r="256" spans="2:14">
      <c r="B256" s="23"/>
      <c r="D256" s="140"/>
      <c r="F256" s="133" t="s">
        <v>405</v>
      </c>
      <c r="G256" s="42" t="s">
        <v>34</v>
      </c>
      <c r="H256" s="3">
        <f>DASHBOARD!$D$51</f>
        <v>43.199999999999996</v>
      </c>
      <c r="I256" s="11">
        <f>SUM(I257:I259)*(1/100)</f>
        <v>1.8285714285714287E-2</v>
      </c>
      <c r="J256" s="11">
        <v>1</v>
      </c>
      <c r="K256" s="11">
        <f>D239*I243*J243</f>
        <v>0</v>
      </c>
      <c r="L256" s="4">
        <f>H256*I256*J256*D252</f>
        <v>0</v>
      </c>
      <c r="M256" s="1" t="s">
        <v>136</v>
      </c>
      <c r="N256" s="87" t="s">
        <v>135</v>
      </c>
    </row>
    <row r="257" spans="2:14">
      <c r="B257" s="23"/>
      <c r="D257" s="140"/>
      <c r="F257" s="2" t="s">
        <v>451</v>
      </c>
      <c r="G257" s="42" t="s">
        <v>27</v>
      </c>
      <c r="H257" s="3">
        <f>DASHBOARD!$D$39</f>
        <v>30</v>
      </c>
      <c r="I257" s="11">
        <f>DASHBOARD!$D$117*(100/60)*(8/7)</f>
        <v>0.38095238095238099</v>
      </c>
      <c r="J257" s="11">
        <v>1</v>
      </c>
      <c r="K257" s="11">
        <f>D239*I244*J244</f>
        <v>0</v>
      </c>
      <c r="L257" s="4">
        <f>H257*I257*J257*D252</f>
        <v>0</v>
      </c>
      <c r="M257" s="1" t="s">
        <v>461</v>
      </c>
      <c r="N257" s="88" t="s">
        <v>463</v>
      </c>
    </row>
    <row r="258" spans="2:14" ht="15" customHeight="1">
      <c r="B258" s="23"/>
      <c r="D258" s="140"/>
      <c r="F258" s="2" t="s">
        <v>405</v>
      </c>
      <c r="G258" s="42" t="s">
        <v>27</v>
      </c>
      <c r="H258" s="3">
        <f>DASHBOARD!$D$39</f>
        <v>30</v>
      </c>
      <c r="I258" s="11">
        <f>DASHBOARD!$D$118*(100/60)*(8/7)</f>
        <v>0.59523809523809523</v>
      </c>
      <c r="J258" s="11">
        <v>1</v>
      </c>
      <c r="K258" s="11">
        <f>D239*I245*J245</f>
        <v>0</v>
      </c>
      <c r="L258" s="4">
        <f>H258*I258*J258*D252</f>
        <v>0</v>
      </c>
      <c r="M258" s="72" t="s">
        <v>462</v>
      </c>
      <c r="N258" s="88" t="s">
        <v>464</v>
      </c>
    </row>
    <row r="259" spans="2:14">
      <c r="B259" s="23"/>
      <c r="D259" s="140"/>
      <c r="F259" s="2" t="s">
        <v>453</v>
      </c>
      <c r="G259" s="66" t="s">
        <v>27</v>
      </c>
      <c r="H259" s="3">
        <f>DASHBOARD!$D$39</f>
        <v>30</v>
      </c>
      <c r="I259" s="11">
        <f>DASHBOARD!$D$119*(100/60)*(8/7)</f>
        <v>0.85238095238095235</v>
      </c>
      <c r="J259" s="11">
        <v>1</v>
      </c>
      <c r="K259" s="11">
        <f>D239*I246*J246</f>
        <v>0</v>
      </c>
      <c r="L259" s="4">
        <f>H259*I259*J259*D252</f>
        <v>0</v>
      </c>
      <c r="M259" s="160" t="s">
        <v>402</v>
      </c>
      <c r="N259" s="87" t="s">
        <v>115</v>
      </c>
    </row>
    <row r="260" spans="2:14">
      <c r="B260" s="23"/>
      <c r="D260" s="140"/>
      <c r="G260" s="1" t="s">
        <v>41</v>
      </c>
      <c r="H260" s="3">
        <f>DASHBOARD!$D$57</f>
        <v>3.95</v>
      </c>
      <c r="I260" s="11">
        <v>1</v>
      </c>
      <c r="J260" s="55">
        <f>2*SUM(I257:I259)/8</f>
        <v>0.45714285714285718</v>
      </c>
      <c r="K260" s="11"/>
      <c r="L260" s="4">
        <f>H260*I260*J260*D252</f>
        <v>0</v>
      </c>
      <c r="M260" s="1" t="s">
        <v>139</v>
      </c>
      <c r="N260" s="87" t="s">
        <v>117</v>
      </c>
    </row>
    <row r="261" spans="2:14">
      <c r="B261" s="23"/>
      <c r="D261" s="140"/>
      <c r="G261" s="1" t="s">
        <v>9</v>
      </c>
      <c r="H261" s="3">
        <f>DASHBOARD!$D$58</f>
        <v>13.95</v>
      </c>
      <c r="I261" s="11">
        <v>1</v>
      </c>
      <c r="J261" s="55">
        <f>2*SUM(I257:I259)/8</f>
        <v>0.45714285714285718</v>
      </c>
      <c r="K261" s="11"/>
      <c r="L261" s="4">
        <f>H261*I261*J261*D252</f>
        <v>0</v>
      </c>
      <c r="M261" s="1" t="s">
        <v>139</v>
      </c>
      <c r="N261" s="87" t="s">
        <v>118</v>
      </c>
    </row>
    <row r="262" spans="2:14">
      <c r="B262" s="23"/>
      <c r="D262" s="140"/>
      <c r="G262" s="1" t="s">
        <v>16</v>
      </c>
      <c r="H262" s="3">
        <f>DASHBOARD!$D$59</f>
        <v>0.23960000000000001</v>
      </c>
      <c r="I262" s="11">
        <v>1</v>
      </c>
      <c r="J262" s="55">
        <f>ROUNDUP(I252/8,0)+(ROUNDUP(I257/8,0)+ROUNDUP(I258/8,0)+ROUNDUP(I259/8,0))*(100/DASHBOARD!$D$121)</f>
        <v>7.3829787234042552</v>
      </c>
      <c r="K262" s="11"/>
      <c r="L262" s="4">
        <f>H262*I262*J262*D252</f>
        <v>0</v>
      </c>
      <c r="M262" s="1" t="s">
        <v>140</v>
      </c>
      <c r="N262" s="87" t="s">
        <v>119</v>
      </c>
    </row>
    <row r="263" spans="2:14">
      <c r="B263" s="23"/>
      <c r="D263" s="140"/>
      <c r="G263" s="1" t="s">
        <v>10</v>
      </c>
      <c r="H263" s="3">
        <f>DASHBOARD!$D$60</f>
        <v>1.7004999999999999</v>
      </c>
      <c r="I263" s="11">
        <v>1</v>
      </c>
      <c r="J263" s="55">
        <f>2*SUM(I257:I259)/8</f>
        <v>0.45714285714285718</v>
      </c>
      <c r="K263" s="11"/>
      <c r="L263" s="4">
        <f>H263*I263*J263*D252</f>
        <v>0</v>
      </c>
      <c r="M263" s="1" t="s">
        <v>139</v>
      </c>
      <c r="N263" s="87" t="s">
        <v>119</v>
      </c>
    </row>
    <row r="264" spans="2:14">
      <c r="B264" s="23"/>
      <c r="D264" s="140"/>
      <c r="G264" s="1" t="s">
        <v>414</v>
      </c>
      <c r="H264" s="3">
        <f>DASHBOARD!$D$74</f>
        <v>20</v>
      </c>
      <c r="I264" s="11">
        <v>1</v>
      </c>
      <c r="J264" s="11">
        <v>100</v>
      </c>
      <c r="K264" s="11"/>
      <c r="L264" s="4">
        <f>H264*I264*J264*D252</f>
        <v>0</v>
      </c>
      <c r="M264" s="1" t="s">
        <v>415</v>
      </c>
      <c r="N264" s="87" t="s">
        <v>141</v>
      </c>
    </row>
    <row r="265" spans="2:14" ht="21" customHeight="1" thickBot="1">
      <c r="B265" s="9" t="s">
        <v>7</v>
      </c>
      <c r="C265" s="10"/>
      <c r="D265" s="14"/>
      <c r="E265" s="20"/>
      <c r="F265" s="14"/>
      <c r="G265" s="10"/>
      <c r="H265" s="549" t="s">
        <v>81</v>
      </c>
      <c r="I265" s="549"/>
      <c r="J265" s="549"/>
      <c r="K265" s="242"/>
      <c r="L265" s="70">
        <f>(D155*F155*SUM(L155:L168))+(D155*F169*SUM(L169:L182))+(D183*E189*F183*SUM(L183:L196))+(D183*E189*F197*SUM(L197:L210))+(D183*E217*F211*SUM(L211:L224))+(D183*E217*F225*SUM(L225:L238))+(D239*F239*SUM(L239:L251))+(D252*F252*SUM(L252:L264))</f>
        <v>1996.7972384485583</v>
      </c>
      <c r="M265" s="69" t="str">
        <f>"Per Person Cost is "&amp;ROUND(L265/100,2)&amp;" and the cost per "&amp;ROUND($C$6,0)&amp;" people is "&amp;ROUND(L265/100*$C$6,2)</f>
        <v>Per Person Cost is 19.97 and the cost per 333 people is 6644.3</v>
      </c>
    </row>
    <row r="266" spans="2:14" ht="33" customHeight="1">
      <c r="B266" s="24" t="s">
        <v>26</v>
      </c>
      <c r="C266" s="26">
        <f>C6</f>
        <v>332.74765375137628</v>
      </c>
      <c r="D266" s="2">
        <f>1*DASHBOARD!$D$139</f>
        <v>1</v>
      </c>
      <c r="E266" s="21" t="s">
        <v>51</v>
      </c>
      <c r="F266" s="2">
        <f>1-C9</f>
        <v>0.97199999999999998</v>
      </c>
      <c r="G266" s="42" t="s">
        <v>14</v>
      </c>
      <c r="H266" s="3">
        <f>DASHBOARD!D35</f>
        <v>24.612000000000002</v>
      </c>
      <c r="I266" s="32">
        <f>(DASHBOARD!$D$155*100/60)*(8/7)*DASHBOARD!$D$131</f>
        <v>1.9047619047619047</v>
      </c>
      <c r="J266" s="1">
        <v>1</v>
      </c>
      <c r="K266" s="1">
        <f>F266*I266*J266</f>
        <v>1.8514285714285712</v>
      </c>
      <c r="L266" s="4">
        <f>H266*I266*J266</f>
        <v>46.88</v>
      </c>
      <c r="M266" s="1" t="s">
        <v>105</v>
      </c>
      <c r="N266" s="87" t="s">
        <v>133</v>
      </c>
    </row>
    <row r="267" spans="2:14" ht="43.35" customHeight="1">
      <c r="B267" s="24"/>
      <c r="C267" s="26"/>
      <c r="F267" s="2" t="s">
        <v>457</v>
      </c>
      <c r="G267" s="42" t="s">
        <v>17</v>
      </c>
      <c r="H267" s="3">
        <f>DASHBOARD!D36</f>
        <v>45.12</v>
      </c>
      <c r="I267" s="1">
        <f>I266/5</f>
        <v>0.38095238095238093</v>
      </c>
      <c r="J267" s="1">
        <v>1</v>
      </c>
      <c r="K267" s="1">
        <f>F266*I267*J267</f>
        <v>0.37028571428571427</v>
      </c>
      <c r="L267" s="4">
        <f>H267*I267*J267</f>
        <v>17.188571428571425</v>
      </c>
      <c r="M267" s="1" t="s">
        <v>143</v>
      </c>
      <c r="N267" s="87" t="s">
        <v>112</v>
      </c>
    </row>
    <row r="268" spans="2:14">
      <c r="B268" s="24"/>
      <c r="F268" s="2">
        <f>C9</f>
        <v>2.8000000000000001E-2</v>
      </c>
      <c r="G268" s="42" t="s">
        <v>17</v>
      </c>
      <c r="H268" s="3">
        <f>DASHBOARD!D36</f>
        <v>45.12</v>
      </c>
      <c r="I268" s="1">
        <v>8</v>
      </c>
      <c r="J268" s="1">
        <f>(DASHBOARD!$D$157*100/480)*(8/7)</f>
        <v>4.7619047619047619</v>
      </c>
      <c r="K268" s="1">
        <f>F268*I268*J268</f>
        <v>1.0666666666666667</v>
      </c>
      <c r="L268" s="4">
        <f>H268*I268*J268</f>
        <v>1718.8571428571427</v>
      </c>
      <c r="M268" s="1" t="s">
        <v>96</v>
      </c>
      <c r="N268" s="87" t="s">
        <v>112</v>
      </c>
    </row>
    <row r="269" spans="2:14" ht="16.350000000000001" customHeight="1" thickBot="1">
      <c r="B269" s="9" t="s">
        <v>7</v>
      </c>
      <c r="C269" s="10"/>
      <c r="D269" s="14"/>
      <c r="E269" s="20"/>
      <c r="F269" s="14"/>
      <c r="G269" s="10"/>
      <c r="H269" s="549" t="s">
        <v>81</v>
      </c>
      <c r="I269" s="549"/>
      <c r="J269" s="549"/>
      <c r="K269" s="242"/>
      <c r="L269" s="70">
        <f>((C266*D266*F266*SUM(L266:L267))+(C266*D266*F268*L268))/100/C266*100</f>
        <v>110.40265142857142</v>
      </c>
      <c r="M269" s="69" t="str">
        <f>"Per Person Cost is "&amp;ROUND(L269/100,2)&amp;" and the cost per "&amp;ROUND($C$6,0)&amp;" people is "&amp;ROUND(L269/100*$C$6,2)</f>
        <v>Per Person Cost is 1.1 and the cost per 333 people is 367.36</v>
      </c>
    </row>
    <row r="270" spans="2:14">
      <c r="B270" s="25" t="s">
        <v>173</v>
      </c>
      <c r="C270" s="26">
        <f>C6</f>
        <v>332.74765375137628</v>
      </c>
      <c r="D270" s="2">
        <f>1*DASHBOARD!$D$139</f>
        <v>1</v>
      </c>
      <c r="E270" s="21" t="s">
        <v>52</v>
      </c>
      <c r="F270" s="2">
        <f>1-C9</f>
        <v>0.97199999999999998</v>
      </c>
      <c r="G270" s="194" t="s">
        <v>14</v>
      </c>
      <c r="H270" s="203">
        <f>DASHBOARD!D35</f>
        <v>24.612000000000002</v>
      </c>
      <c r="I270" s="204">
        <f>I266*3</f>
        <v>5.7142857142857135</v>
      </c>
      <c r="J270" s="204">
        <v>1</v>
      </c>
      <c r="K270" s="204">
        <f>F270*I270*J270</f>
        <v>5.5542857142857134</v>
      </c>
      <c r="L270" s="205">
        <f>H270*I270*J270*D271</f>
        <v>0</v>
      </c>
      <c r="M270" s="204" t="s">
        <v>176</v>
      </c>
    </row>
    <row r="271" spans="2:14">
      <c r="B271" s="25"/>
      <c r="C271" s="26"/>
      <c r="D271" s="193">
        <f>DASHBOARD!D137</f>
        <v>0</v>
      </c>
      <c r="F271" s="2" t="s">
        <v>457</v>
      </c>
      <c r="G271" s="194" t="s">
        <v>17</v>
      </c>
      <c r="H271" s="203">
        <f>DASHBOARD!D36</f>
        <v>45.12</v>
      </c>
      <c r="I271" s="206">
        <f>(I270/5)*(10/3)*(8/7)</f>
        <v>4.353741496598639</v>
      </c>
      <c r="J271" s="204">
        <v>1</v>
      </c>
      <c r="K271" s="204">
        <f>F270*I271*J271</f>
        <v>4.2318367346938768</v>
      </c>
      <c r="L271" s="205">
        <f>H271*I271*J271*D271</f>
        <v>0</v>
      </c>
      <c r="M271" s="204" t="s">
        <v>177</v>
      </c>
    </row>
    <row r="272" spans="2:14">
      <c r="B272" s="25"/>
      <c r="C272" s="26"/>
      <c r="D272" s="193" t="s">
        <v>431</v>
      </c>
      <c r="G272" s="204" t="s">
        <v>174</v>
      </c>
      <c r="H272" s="203">
        <v>0</v>
      </c>
      <c r="I272" s="204">
        <v>0</v>
      </c>
      <c r="J272" s="204">
        <v>0</v>
      </c>
      <c r="K272" s="204"/>
      <c r="L272" s="205">
        <f>(L265+L154+L146)*D271</f>
        <v>0</v>
      </c>
      <c r="M272" s="204" t="s">
        <v>175</v>
      </c>
    </row>
    <row r="273" spans="2:14" ht="56.25" customHeight="1">
      <c r="B273" s="25"/>
      <c r="D273" s="202"/>
      <c r="F273" s="2">
        <f>C9</f>
        <v>2.8000000000000001E-2</v>
      </c>
      <c r="G273" s="42" t="s">
        <v>17</v>
      </c>
      <c r="H273" s="3">
        <f>DASHBOARD!$D$36</f>
        <v>45.12</v>
      </c>
      <c r="I273" s="32">
        <f>8*DASHBOARD!$D$133</f>
        <v>8</v>
      </c>
      <c r="J273" s="1">
        <f>DASHBOARD!$D$158*100/480</f>
        <v>12.5</v>
      </c>
      <c r="K273" s="1">
        <f>$F$273*I273*J273</f>
        <v>2.8000000000000003</v>
      </c>
      <c r="L273" s="4">
        <f>H273*I273*J273</f>
        <v>4512</v>
      </c>
      <c r="M273" s="1" t="s">
        <v>298</v>
      </c>
      <c r="N273" s="87" t="s">
        <v>112</v>
      </c>
    </row>
    <row r="274" spans="2:14" ht="81.75" customHeight="1">
      <c r="B274" s="25"/>
      <c r="G274" s="42" t="s">
        <v>14</v>
      </c>
      <c r="H274" s="3">
        <f>DASHBOARD!$D$35</f>
        <v>24.612000000000002</v>
      </c>
      <c r="I274" s="32">
        <f>8*DASHBOARD!$D$133</f>
        <v>8</v>
      </c>
      <c r="J274" s="1">
        <f>(DASHBOARD!$D$159*100/480)*DASHBOARD!$D$105/5</f>
        <v>22.847999999999999</v>
      </c>
      <c r="K274" s="1">
        <f t="shared" ref="K274:K281" si="15">$F$273*I274*J274</f>
        <v>5.1179519999999998</v>
      </c>
      <c r="L274" s="4">
        <f>H274*I274*J274</f>
        <v>4498.6798079999999</v>
      </c>
      <c r="M274" s="1" t="s">
        <v>309</v>
      </c>
      <c r="N274" s="87"/>
    </row>
    <row r="275" spans="2:14" ht="34.5" customHeight="1">
      <c r="B275" s="25"/>
      <c r="F275" s="2" t="s">
        <v>454</v>
      </c>
      <c r="G275" s="132" t="s">
        <v>450</v>
      </c>
      <c r="H275" s="3">
        <f>DASHBOARD!$D$52</f>
        <v>48</v>
      </c>
      <c r="I275" s="32">
        <v>8</v>
      </c>
      <c r="J275" s="11">
        <f>SUM(J273:J274)/5.5</f>
        <v>6.4269090909090911</v>
      </c>
      <c r="K275" s="1">
        <f t="shared" si="15"/>
        <v>1.4396276363636364</v>
      </c>
      <c r="L275" s="4">
        <f>H275*I275*J275</f>
        <v>2467.9330909090909</v>
      </c>
      <c r="M275" s="1" t="s">
        <v>300</v>
      </c>
      <c r="N275" s="87"/>
    </row>
    <row r="276" spans="2:14" ht="33" customHeight="1">
      <c r="B276" s="25"/>
      <c r="F276" s="2" t="s">
        <v>455</v>
      </c>
      <c r="G276" s="132" t="s">
        <v>180</v>
      </c>
      <c r="H276" s="3">
        <f>DASHBOARD!$D$53</f>
        <v>121.78799999999998</v>
      </c>
      <c r="I276" s="32">
        <v>8</v>
      </c>
      <c r="J276" s="11">
        <f>SUM(J273:J274)/27.5</f>
        <v>1.2853818181818182</v>
      </c>
      <c r="K276" s="1">
        <f t="shared" si="15"/>
        <v>0.2879255272727273</v>
      </c>
      <c r="L276" s="4">
        <f t="shared" ref="L276:L279" si="16">H276*I276*J276</f>
        <v>1252.352646981818</v>
      </c>
      <c r="M276" s="1" t="s">
        <v>308</v>
      </c>
      <c r="N276" s="87"/>
    </row>
    <row r="277" spans="2:14" ht="34.5" customHeight="1">
      <c r="B277" s="25"/>
      <c r="F277" s="2" t="s">
        <v>455</v>
      </c>
      <c r="G277" s="132" t="s">
        <v>40</v>
      </c>
      <c r="H277" s="3">
        <f>DASHBOARD!$D$45</f>
        <v>54.804000000000002</v>
      </c>
      <c r="I277" s="1">
        <v>8</v>
      </c>
      <c r="J277" s="11">
        <f>SUM(J273:J274)/27.5</f>
        <v>1.2853818181818182</v>
      </c>
      <c r="K277" s="1">
        <f t="shared" si="15"/>
        <v>0.2879255272727273</v>
      </c>
      <c r="L277" s="4">
        <f t="shared" si="16"/>
        <v>563.55252130909093</v>
      </c>
      <c r="M277" s="1" t="s">
        <v>302</v>
      </c>
      <c r="N277" s="87" t="s">
        <v>112</v>
      </c>
    </row>
    <row r="278" spans="2:14" ht="17.100000000000001" customHeight="1">
      <c r="B278" s="25"/>
      <c r="G278" s="132" t="s">
        <v>353</v>
      </c>
      <c r="H278" s="3">
        <f>DASHBOARD!$D$54</f>
        <v>60</v>
      </c>
      <c r="I278" s="1">
        <v>8</v>
      </c>
      <c r="J278" s="11">
        <f>SUM(J273:J274)/9.167*DASHBOARD!$D$130</f>
        <v>3.85600523617323</v>
      </c>
      <c r="K278" s="1">
        <f t="shared" si="15"/>
        <v>0.8637451729028035</v>
      </c>
      <c r="L278" s="4">
        <f t="shared" si="16"/>
        <v>1850.8825133631503</v>
      </c>
      <c r="M278" s="1" t="s">
        <v>305</v>
      </c>
      <c r="N278" s="87"/>
    </row>
    <row r="279" spans="2:14" ht="31.5" customHeight="1">
      <c r="B279" s="25"/>
      <c r="F279" s="2" t="s">
        <v>456</v>
      </c>
      <c r="G279" s="42" t="s">
        <v>14</v>
      </c>
      <c r="H279" s="3">
        <f>DASHBOARD!$D$35</f>
        <v>24.612000000000002</v>
      </c>
      <c r="I279" s="32">
        <v>8</v>
      </c>
      <c r="J279" s="11">
        <f>SUM(J273:J274)/2.2*DASHBOARD!$D$129</f>
        <v>16.067272727272726</v>
      </c>
      <c r="K279" s="1">
        <f t="shared" si="15"/>
        <v>3.599069090909091</v>
      </c>
      <c r="L279" s="4">
        <f t="shared" si="16"/>
        <v>3163.5817309090912</v>
      </c>
      <c r="M279" s="1" t="s">
        <v>310</v>
      </c>
      <c r="N279" s="87"/>
    </row>
    <row r="280" spans="2:14" ht="17.100000000000001" customHeight="1">
      <c r="B280" s="25"/>
      <c r="F280" s="2" t="s">
        <v>465</v>
      </c>
      <c r="G280" s="194" t="s">
        <v>14</v>
      </c>
      <c r="H280" s="195">
        <f>DASHBOARD!D35</f>
        <v>24.612000000000002</v>
      </c>
      <c r="I280" s="196">
        <f>1.67*3</f>
        <v>5.01</v>
      </c>
      <c r="J280" s="196">
        <v>1</v>
      </c>
      <c r="K280" s="204">
        <f t="shared" si="15"/>
        <v>0.14027999999999999</v>
      </c>
      <c r="L280" s="197">
        <f>H280*I280*J280*D271</f>
        <v>0</v>
      </c>
      <c r="M280" s="196" t="s">
        <v>307</v>
      </c>
      <c r="N280" s="87"/>
    </row>
    <row r="281" spans="2:14" ht="17.100000000000001" customHeight="1">
      <c r="B281" s="25"/>
      <c r="F281" s="2" t="s">
        <v>457</v>
      </c>
      <c r="G281" s="194" t="s">
        <v>17</v>
      </c>
      <c r="H281" s="195">
        <f>DASHBOARD!D36</f>
        <v>45.12</v>
      </c>
      <c r="I281" s="198">
        <f>I280/5*(10/3)</f>
        <v>3.3400000000000003</v>
      </c>
      <c r="J281" s="196">
        <v>1</v>
      </c>
      <c r="K281" s="204">
        <f t="shared" si="15"/>
        <v>9.3520000000000006E-2</v>
      </c>
      <c r="L281" s="197">
        <f>H281*I281*J281*D271</f>
        <v>0</v>
      </c>
      <c r="M281" s="196" t="s">
        <v>307</v>
      </c>
      <c r="N281" s="87"/>
    </row>
    <row r="282" spans="2:14" ht="17.100000000000001" customHeight="1">
      <c r="B282" s="25"/>
      <c r="G282" s="196" t="s">
        <v>430</v>
      </c>
      <c r="H282" s="195">
        <v>0</v>
      </c>
      <c r="I282" s="196">
        <v>0</v>
      </c>
      <c r="J282" s="196">
        <v>0</v>
      </c>
      <c r="K282" s="204"/>
      <c r="L282" s="197">
        <f>(L265+L154+L146)*2*D271</f>
        <v>0</v>
      </c>
      <c r="M282" s="196" t="s">
        <v>307</v>
      </c>
      <c r="N282" s="87"/>
    </row>
    <row r="283" spans="2:14" ht="17.100000000000001" customHeight="1">
      <c r="B283" s="25"/>
      <c r="F283" s="2" t="s">
        <v>106</v>
      </c>
      <c r="G283" s="42" t="s">
        <v>107</v>
      </c>
      <c r="L283" s="4">
        <f>(L269+L265+L154+L146)*C5*0</f>
        <v>0</v>
      </c>
      <c r="M283" s="3" t="s">
        <v>178</v>
      </c>
    </row>
    <row r="284" spans="2:14" ht="23.1" customHeight="1" thickBot="1">
      <c r="B284" s="9" t="s">
        <v>7</v>
      </c>
      <c r="C284" s="10"/>
      <c r="D284" s="14"/>
      <c r="E284" s="20"/>
      <c r="F284" s="14"/>
      <c r="G284" s="10"/>
      <c r="H284" s="549" t="s">
        <v>81</v>
      </c>
      <c r="I284" s="549"/>
      <c r="J284" s="549"/>
      <c r="K284" s="242"/>
      <c r="L284" s="70">
        <f>((C270*D270*F270*SUM(L270:L272))+(C270*D270*F273*SUM(L273:L283)))/100/C270*100</f>
        <v>512.65150472122286</v>
      </c>
      <c r="M284" s="69" t="str">
        <f>"Per Person Cost is "&amp;ROUND(L284/100,2)&amp;" and the cost per "&amp;ROUND($C$6,0)&amp;" people is "&amp;ROUND(L284/100*$C$6,2)</f>
        <v>Per Person Cost is 5.13 and the cost per 333 people is 1705.84</v>
      </c>
    </row>
    <row r="285" spans="2:14" ht="19.5" thickBot="1">
      <c r="B285" s="62" t="s">
        <v>53</v>
      </c>
      <c r="C285" s="63">
        <v>100</v>
      </c>
      <c r="D285" s="64" t="s">
        <v>54</v>
      </c>
      <c r="E285" s="59"/>
      <c r="F285" s="58"/>
      <c r="G285" s="57"/>
      <c r="H285" s="60"/>
      <c r="I285" s="57"/>
      <c r="J285" s="57"/>
      <c r="K285" s="57"/>
      <c r="L285" s="65">
        <f>SUM(L23,L146,L154,L265,L269,L284)</f>
        <v>7105.6012517971631</v>
      </c>
      <c r="M285" s="69" t="str">
        <f>"Per Person Cost is "&amp;ROUND(L285/100,2)&amp;" and the cost per "&amp;ROUND($C$6,0)&amp;" people is "&amp;ROUND(L285/100*$C$6,2)</f>
        <v>Per Person Cost is 71.06 and the cost per 333 people is 23643.72</v>
      </c>
    </row>
    <row r="288" spans="2:14" ht="21">
      <c r="B288" s="550" t="s">
        <v>56</v>
      </c>
      <c r="C288" s="550"/>
    </row>
    <row r="289" spans="2:3">
      <c r="B289" s="68" t="s">
        <v>57</v>
      </c>
      <c r="C289" s="68" t="s">
        <v>58</v>
      </c>
    </row>
    <row r="290" spans="2:3">
      <c r="B290" s="68"/>
      <c r="C290" s="68" t="s">
        <v>59</v>
      </c>
    </row>
    <row r="291" spans="2:3">
      <c r="B291" s="68"/>
      <c r="C291" s="68" t="s">
        <v>61</v>
      </c>
    </row>
    <row r="292" spans="2:3" ht="31.5">
      <c r="B292" s="68" t="s">
        <v>60</v>
      </c>
      <c r="C292" s="68" t="s">
        <v>62</v>
      </c>
    </row>
    <row r="293" spans="2:3" ht="31.5">
      <c r="B293" s="68"/>
      <c r="C293" s="68" t="s">
        <v>63</v>
      </c>
    </row>
    <row r="294" spans="2:3">
      <c r="B294" s="68"/>
      <c r="C294" s="68" t="s">
        <v>58</v>
      </c>
    </row>
    <row r="295" spans="2:3">
      <c r="B295" s="68"/>
      <c r="C295" s="68" t="s">
        <v>64</v>
      </c>
    </row>
    <row r="296" spans="2:3">
      <c r="B296" s="68"/>
      <c r="C296" s="68" t="s">
        <v>73</v>
      </c>
    </row>
    <row r="297" spans="2:3">
      <c r="B297" s="68" t="s">
        <v>65</v>
      </c>
      <c r="C297" s="68" t="s">
        <v>66</v>
      </c>
    </row>
    <row r="298" spans="2:3">
      <c r="B298" s="68"/>
      <c r="C298" s="68" t="s">
        <v>67</v>
      </c>
    </row>
    <row r="299" spans="2:3" ht="31.5">
      <c r="B299" s="68" t="s">
        <v>68</v>
      </c>
      <c r="C299" s="68" t="s">
        <v>69</v>
      </c>
    </row>
    <row r="300" spans="2:3">
      <c r="B300" s="68"/>
      <c r="C300" s="68" t="s">
        <v>70</v>
      </c>
    </row>
    <row r="301" spans="2:3">
      <c r="B301" s="68" t="s">
        <v>71</v>
      </c>
      <c r="C301" s="68" t="s">
        <v>61</v>
      </c>
    </row>
    <row r="302" spans="2:3">
      <c r="B302" s="68"/>
      <c r="C302" s="68" t="s">
        <v>58</v>
      </c>
    </row>
    <row r="303" spans="2:3">
      <c r="B303" s="68" t="s">
        <v>72</v>
      </c>
      <c r="C303" s="68" t="s">
        <v>61</v>
      </c>
    </row>
    <row r="304" spans="2:3">
      <c r="B304" s="68"/>
      <c r="C304" s="68" t="s">
        <v>58</v>
      </c>
    </row>
  </sheetData>
  <sheetProtection algorithmName="SHA-512" hashValue="TylTTighXVdW+OVbqmNBM9/gSz7wor/6Y6N+GI8rc2n7xlrC3KzPnDFPvTZj0qCh3DNGPIJyPtcijBhA+ko6jQ==" saltValue="Hr23kbZf7ZIFsVwVkrh75Q==" spinCount="100000" sheet="1" objects="1" scenarios="1"/>
  <autoFilter ref="B12:N285" xr:uid="{4AB1BB35-C269-574A-B9E8-F25348CE6AA5}"/>
  <mergeCells count="8">
    <mergeCell ref="H284:J284"/>
    <mergeCell ref="B288:C288"/>
    <mergeCell ref="B2:D2"/>
    <mergeCell ref="H23:J23"/>
    <mergeCell ref="H146:J146"/>
    <mergeCell ref="H154:J154"/>
    <mergeCell ref="H265:J265"/>
    <mergeCell ref="H269:J269"/>
  </mergeCells>
  <hyperlinks>
    <hyperlink ref="N13" r:id="rId1" xr:uid="{DFEAA21D-779F-6C49-BF7C-D7BC6ED8D27F}"/>
    <hyperlink ref="N14" r:id="rId2" xr:uid="{6014D2CF-A4EF-084B-901C-133241C6A594}"/>
    <hyperlink ref="N22" r:id="rId3" xr:uid="{5267DFA0-5790-854B-8845-4C1EE560C9CA}"/>
    <hyperlink ref="N155" r:id="rId4" xr:uid="{77AA9FBE-770D-7145-BB78-D1834D639FEB}"/>
    <hyperlink ref="N156" r:id="rId5" xr:uid="{7F5175EF-89FC-544F-8AAE-5FE5A5F30AB6}"/>
    <hyperlink ref="N158" r:id="rId6" xr:uid="{AEC7EB0A-D20B-F84F-BAE1-99A7E895005C}"/>
    <hyperlink ref="N160" r:id="rId7" xr:uid="{C0BE8488-0ABD-694D-ADDA-24747E859695}"/>
    <hyperlink ref="N161" r:id="rId8" xr:uid="{5C210D15-E446-C345-89A4-B4EFE503D2E7}"/>
    <hyperlink ref="N162" r:id="rId9" xr:uid="{67BAD774-A127-674A-9FA1-1B784AECA1A9}"/>
    <hyperlink ref="N157" r:id="rId10" xr:uid="{FA0CB27F-A91A-314A-8DD7-A6322C3FA188}"/>
    <hyperlink ref="N159" r:id="rId11" xr:uid="{52CE7223-B98A-8546-BBBC-CEB05A75C2AF}"/>
    <hyperlink ref="N166" r:id="rId12" location="srp" xr:uid="{E32CCF2C-0F5B-244E-9DA4-DE3251FF91F3}"/>
    <hyperlink ref="N165" r:id="rId13" location="srp" xr:uid="{8D58F302-09E4-BA47-9084-EFDED32BD45F}"/>
    <hyperlink ref="N164" r:id="rId14" xr:uid="{76863455-B3E8-484E-B0C2-0E11C0CAD105}"/>
    <hyperlink ref="N163" r:id="rId15" xr:uid="{91358F83-AAF0-9E4E-9510-6658AF642AE3}"/>
    <hyperlink ref="N167" r:id="rId16" xr:uid="{E5D06431-138C-F24C-B1CD-F4891A136F3E}"/>
    <hyperlink ref="N168" r:id="rId17" xr:uid="{E597E984-FFE5-6D4D-999C-1F33374B25E5}"/>
    <hyperlink ref="N169" r:id="rId18" xr:uid="{3A0260E6-0F45-E44A-9CFB-94B35A314AFD}"/>
    <hyperlink ref="N170" r:id="rId19" xr:uid="{3242CA28-CACD-1D41-BCF5-420DF6ECDC8F}"/>
    <hyperlink ref="N172" r:id="rId20" xr:uid="{5140DDFC-B5FD-7541-92FC-BE407CBA5A4E}"/>
    <hyperlink ref="N174" r:id="rId21" xr:uid="{48B55871-F75D-F24D-86BC-36386DA0BE83}"/>
    <hyperlink ref="N175" r:id="rId22" xr:uid="{8DEB3353-1CF2-A545-98BC-306011D47E99}"/>
    <hyperlink ref="N176" r:id="rId23" xr:uid="{9CDF50E6-B73F-3942-A1B1-5555D336BACA}"/>
    <hyperlink ref="N171" r:id="rId24" xr:uid="{AA26DD2E-A5A9-A34A-957C-F9BFEFEF22BB}"/>
    <hyperlink ref="N173" r:id="rId25" xr:uid="{CD0B4950-B17F-D44B-A3D2-469F2D425D0C}"/>
    <hyperlink ref="N180" r:id="rId26" location="srp" xr:uid="{9613952C-30EA-2746-84C0-7A7946022837}"/>
    <hyperlink ref="N179" r:id="rId27" location="srp" xr:uid="{31C7B265-47B1-C14F-BED2-926728ACC349}"/>
    <hyperlink ref="N178" r:id="rId28" xr:uid="{2F64DF7A-DF99-8F47-940C-F75049B0ED11}"/>
    <hyperlink ref="N177" r:id="rId29" xr:uid="{DEE1A4FD-9719-A744-86F0-BF9BA81C84FE}"/>
    <hyperlink ref="N181" r:id="rId30" xr:uid="{1E07E7A1-531F-7148-AC6C-3ACFCDDF19CF}"/>
    <hyperlink ref="N182" r:id="rId31" xr:uid="{22BD7B8F-7D2F-674D-8398-C9F498B0628B}"/>
    <hyperlink ref="N266" r:id="rId32" xr:uid="{82F02E15-DF3B-0F42-954B-061A44DA00ED}"/>
    <hyperlink ref="N268" r:id="rId33" xr:uid="{4196F572-0C25-AC49-8927-6FF258EFA5F8}"/>
    <hyperlink ref="N267" r:id="rId34" xr:uid="{B6617AC6-2447-9749-B6DB-AE7438A4A81B}"/>
    <hyperlink ref="N24" r:id="rId35" xr:uid="{94C9ECA1-3722-BA44-8A86-14C4E6FE1C6A}"/>
    <hyperlink ref="N25" r:id="rId36" xr:uid="{F73B2762-67BC-6C44-A616-FE67FD0F47A9}"/>
    <hyperlink ref="N26" r:id="rId37" xr:uid="{545C5AD4-2DC0-B140-AE20-4240C7E46B2A}"/>
    <hyperlink ref="N27" r:id="rId38" xr:uid="{987B5BC1-52B4-B04A-B34D-6E5BD044715E}"/>
    <hyperlink ref="N28" r:id="rId39" xr:uid="{53D03A91-3EA1-F645-9D2E-E39D2972ECD1}"/>
    <hyperlink ref="N33" r:id="rId40" location="srp" xr:uid="{6DC19575-894A-374B-8D99-A3564123CC94}"/>
    <hyperlink ref="N32" r:id="rId41" location="srp" xr:uid="{F7D67C13-4E1B-814B-94E9-B60C754DC8C9}"/>
    <hyperlink ref="N31" r:id="rId42" xr:uid="{C2BBCE6D-6199-1444-8328-245CF3AB7EC2}"/>
    <hyperlink ref="N30" r:id="rId43" xr:uid="{B790E8A1-9412-1F40-941B-9D4FB563A94C}"/>
    <hyperlink ref="N29" r:id="rId44" xr:uid="{B9692E6E-4654-D143-96FF-C9CD8898857D}"/>
    <hyperlink ref="N54" r:id="rId45" xr:uid="{2ED68525-218A-DB40-82CA-0DD1960B0932}"/>
    <hyperlink ref="N55" r:id="rId46" xr:uid="{6B114F7C-04E4-404F-AD04-B4604EA1FAAC}"/>
    <hyperlink ref="N56" r:id="rId47" xr:uid="{2B38EB2E-F2DB-5A44-AA77-E6D58BE3451F}"/>
    <hyperlink ref="N57" r:id="rId48" xr:uid="{2E95D066-F2E5-3F4A-9FF2-22EFEFEF72A1}"/>
    <hyperlink ref="N58" r:id="rId49" xr:uid="{1334D04E-15C4-6745-8751-04AE678323DE}"/>
    <hyperlink ref="N63" r:id="rId50" location="srp" xr:uid="{BE78E957-7579-EE47-97DF-D516C06B7A95}"/>
    <hyperlink ref="N62" r:id="rId51" location="srp" xr:uid="{B7635071-51DF-6A43-9B93-94A3A79577FF}"/>
    <hyperlink ref="N61" r:id="rId52" xr:uid="{08AEFD63-957B-9E48-9C5F-65B16AC21C9A}"/>
    <hyperlink ref="N60" r:id="rId53" xr:uid="{033EA442-C4F1-074C-9E47-CC1594BFB02C}"/>
    <hyperlink ref="N59" r:id="rId54" xr:uid="{36B92751-9250-C646-8B47-0747DCE8820D}"/>
    <hyperlink ref="N147" r:id="rId55" location="ListeFonctPrinc" xr:uid="{67D1510F-B802-AA41-B1F8-E0A202974C78}"/>
    <hyperlink ref="N148" r:id="rId56" display="https://www.caaquebec.com/en/on-the-road/public-interest/gasoline-matters/gasoline-watch/" xr:uid="{71FF5BA9-2A36-2345-AFC8-9CDC8C5B15CE}"/>
    <hyperlink ref="N151" r:id="rId57" xr:uid="{40483FB7-39F5-B448-B4CB-AE7A4B6C1906}"/>
    <hyperlink ref="N150" r:id="rId58" xr:uid="{9DEDF155-C27B-3543-A910-9D7A4EEA06BF}"/>
    <hyperlink ref="N41" r:id="rId59" location="?keyword=blood+lancet" display="https://www.fishersci.ca/shop/products/bd-micro-fine-contact-activated-lancet-3/p-3491417 - ?keyword=blood+lancet" xr:uid="{2FD8333D-6272-3A4D-9919-5EA834FEFDB2}"/>
    <hyperlink ref="N273" r:id="rId60" xr:uid="{18500DA6-B426-DF49-909B-D23B34594E97}"/>
    <hyperlink ref="N277" r:id="rId61" xr:uid="{39C3BDB4-C455-0B4E-878C-DB509D98EAD3}"/>
    <hyperlink ref="N84" r:id="rId62" xr:uid="{2CF27919-1DDA-2243-BD3D-8B5EDEF9E78A}"/>
    <hyperlink ref="N85" r:id="rId63" xr:uid="{360C624F-B401-524B-A90A-005610B4637D}"/>
    <hyperlink ref="N86" r:id="rId64" xr:uid="{5FA7EA6C-EC1B-6044-B763-26DB1819A099}"/>
    <hyperlink ref="N95" r:id="rId65" location="srp" xr:uid="{82B462EB-1EDF-1A46-BC3F-672ABC71771E}"/>
    <hyperlink ref="N94" r:id="rId66" location="srp" xr:uid="{4EA955E7-89FB-1247-B803-3F40F8B93F56}"/>
    <hyperlink ref="N93" r:id="rId67" xr:uid="{02F9DB4F-12B0-024E-8167-E31051086111}"/>
    <hyperlink ref="N92" r:id="rId68" xr:uid="{99876F34-A2C4-5E4E-8757-11156C2364F0}"/>
    <hyperlink ref="N91" r:id="rId69" xr:uid="{02DB59FF-2FD2-6546-B2E9-1D8B1B4B71F4}"/>
    <hyperlink ref="N115" r:id="rId70" xr:uid="{792D68D9-6A3F-D643-9880-E01959074DDE}"/>
    <hyperlink ref="N116" r:id="rId71" xr:uid="{FE48DB8E-AAA7-EE43-9045-1C325E09CD9F}"/>
    <hyperlink ref="N117" r:id="rId72" xr:uid="{88FBB793-B83A-8F4E-AA01-1A1C49AE29A2}"/>
    <hyperlink ref="N126" r:id="rId73" location="srp" xr:uid="{7A47DBC6-9551-0346-838C-8A3F69340881}"/>
    <hyperlink ref="N125" r:id="rId74" location="srp" xr:uid="{DEB865BC-6812-F144-8E56-45C6D8EC40A8}"/>
    <hyperlink ref="N124" r:id="rId75" xr:uid="{F75C539F-27FD-CB46-B15D-9C7798E953E9}"/>
    <hyperlink ref="N123" r:id="rId76" xr:uid="{B5C680C2-BB91-6246-B4F6-64065206FEC8}"/>
    <hyperlink ref="N122" r:id="rId77" xr:uid="{AD026586-5D6E-8844-999A-32CE9B52824C}"/>
    <hyperlink ref="N183" r:id="rId78" xr:uid="{543D008D-76CF-FE4E-AF13-0FFAE90591DB}"/>
    <hyperlink ref="N184" r:id="rId79" xr:uid="{BBA5552A-03B6-5A44-8B11-C84A86212835}"/>
    <hyperlink ref="N186" r:id="rId80" xr:uid="{720D2D9C-507E-D540-A806-C90576C4F3E5}"/>
    <hyperlink ref="N188" r:id="rId81" xr:uid="{DEDABD6E-7C7A-C843-8FA8-B9CEDF5290A3}"/>
    <hyperlink ref="N189" r:id="rId82" xr:uid="{3265C8FB-BABF-1649-9AFA-6F901FB2DAA5}"/>
    <hyperlink ref="N190" r:id="rId83" xr:uid="{36CB4BD8-609E-0446-8386-3CC275722AF1}"/>
    <hyperlink ref="N185" r:id="rId84" xr:uid="{684094A6-8D1A-034A-AD99-8C857318AD21}"/>
    <hyperlink ref="N187" r:id="rId85" xr:uid="{0FBF7585-D39C-FE43-8474-0E5C6485F96E}"/>
    <hyperlink ref="N194" r:id="rId86" location="srp" xr:uid="{9F92494B-DC95-9941-8865-E33BD431473D}"/>
    <hyperlink ref="N193" r:id="rId87" location="srp" xr:uid="{672022C3-2DB8-1848-A3B1-CE01EE335705}"/>
    <hyperlink ref="N192" r:id="rId88" xr:uid="{D20BF651-01A1-B94F-8ED4-DF40EABD9F8E}"/>
    <hyperlink ref="N191" r:id="rId89" xr:uid="{B1F4A27E-2B66-1049-97E4-BC82E36012EB}"/>
    <hyperlink ref="N195" r:id="rId90" xr:uid="{CF744E33-7592-344E-8299-8B10C3E3CFB3}"/>
    <hyperlink ref="N196" r:id="rId91" xr:uid="{AEAD8BF0-488A-064C-853A-F41A80279B23}"/>
    <hyperlink ref="N197" r:id="rId92" xr:uid="{31DFD9DD-1FF9-1347-A38A-3616FF3183A8}"/>
    <hyperlink ref="N198" r:id="rId93" xr:uid="{47A9E8C8-9982-D840-AE6E-B64B64D21E2D}"/>
    <hyperlink ref="N200" r:id="rId94" xr:uid="{B425E09F-238B-9F47-9B68-8CD107B63659}"/>
    <hyperlink ref="N202" r:id="rId95" xr:uid="{65EF83A7-C5EC-FC42-B4E5-1658DA44ACEB}"/>
    <hyperlink ref="N203" r:id="rId96" xr:uid="{0236E0C1-ACAD-EC49-9DA8-4685585356B0}"/>
    <hyperlink ref="N204" r:id="rId97" xr:uid="{C5BD816A-A46B-C84A-BC80-96C2DE3C338F}"/>
    <hyperlink ref="N199" r:id="rId98" xr:uid="{AF889803-EA5E-5641-80B7-361B526130AB}"/>
    <hyperlink ref="N201" r:id="rId99" xr:uid="{5673475A-08CA-0141-8302-F43AD302ACF6}"/>
    <hyperlink ref="N208" r:id="rId100" location="srp" xr:uid="{CB18E95A-FD27-B541-A9ED-FC204EC6D3FC}"/>
    <hyperlink ref="N207" r:id="rId101" location="srp" xr:uid="{568851E3-F12C-3B45-A6C6-9B384DFD2E03}"/>
    <hyperlink ref="N206" r:id="rId102" xr:uid="{7ACEE342-6A89-4F44-81CE-AD48A41468ED}"/>
    <hyperlink ref="N205" r:id="rId103" xr:uid="{83CC31EE-D44F-D843-8A71-C4B78CE3382B}"/>
    <hyperlink ref="N209" r:id="rId104" xr:uid="{0BBC763E-45BC-F146-892C-491B2950527D}"/>
    <hyperlink ref="N210" r:id="rId105" xr:uid="{110F2D21-F324-1143-9AE3-0EF954284913}"/>
    <hyperlink ref="N211" r:id="rId106" xr:uid="{D4C81744-7A54-C841-98DE-AED449077481}"/>
    <hyperlink ref="N212" r:id="rId107" xr:uid="{3F4EF1D1-79DD-C24A-8589-712CBE47CAB0}"/>
    <hyperlink ref="N214" r:id="rId108" xr:uid="{4F400F1C-8CCC-9C43-B2B2-1F4F69831E43}"/>
    <hyperlink ref="N216" r:id="rId109" xr:uid="{1955E8EB-589F-474B-9FB0-96DF91477DC7}"/>
    <hyperlink ref="N217" r:id="rId110" xr:uid="{D0BF5807-C58D-4F4E-A811-752EF394FAB7}"/>
    <hyperlink ref="N218" r:id="rId111" xr:uid="{90A22847-5EF1-524F-9E51-1ED19101ABB2}"/>
    <hyperlink ref="N213" r:id="rId112" xr:uid="{C1FB19AF-04D1-5D45-952E-C82EB7F191B7}"/>
    <hyperlink ref="N215" r:id="rId113" xr:uid="{A3E9E526-362F-C746-89CB-5F2EFE98FE70}"/>
    <hyperlink ref="N222" r:id="rId114" location="srp" xr:uid="{ECCB0D73-883A-9B40-8222-CA92C49B4E2C}"/>
    <hyperlink ref="N221" r:id="rId115" location="srp" xr:uid="{FF90CB57-BC78-614C-A25F-6CC944814CA8}"/>
    <hyperlink ref="N220" r:id="rId116" xr:uid="{8ABC7FEA-342A-C546-96DC-1F4853867833}"/>
    <hyperlink ref="N219" r:id="rId117" xr:uid="{9C0FB493-8B41-8140-B64B-641B336FDA8A}"/>
    <hyperlink ref="N223" r:id="rId118" xr:uid="{94AAE741-C558-464A-A4C3-C1F274716DF8}"/>
    <hyperlink ref="N224" r:id="rId119" xr:uid="{775169BE-BB51-B947-9A96-F6621A252B16}"/>
    <hyperlink ref="N225" r:id="rId120" xr:uid="{D9D7C68F-1E71-FF47-AC31-49F9719FA620}"/>
    <hyperlink ref="N226" r:id="rId121" xr:uid="{2C527B76-688D-0E47-A33E-4292D5AFB447}"/>
    <hyperlink ref="N228" r:id="rId122" xr:uid="{F20E0F07-AA88-9B4B-AFEC-45642CA12FDD}"/>
    <hyperlink ref="N230" r:id="rId123" xr:uid="{B388E1FF-7F05-A449-9685-FFEE86D90C04}"/>
    <hyperlink ref="N231" r:id="rId124" xr:uid="{382A7318-A1F7-0E40-93BF-AC47F6FEF0DD}"/>
    <hyperlink ref="N232" r:id="rId125" xr:uid="{62F6E4F4-C3CA-D94C-99EF-170A3F1E74E1}"/>
    <hyperlink ref="N227" r:id="rId126" xr:uid="{62CC8404-2BA0-0B41-932A-207F6C3D3C19}"/>
    <hyperlink ref="N229" r:id="rId127" xr:uid="{7810DDA9-6717-4E4F-BC5E-CDA75BFC7118}"/>
    <hyperlink ref="N236" r:id="rId128" location="srp" xr:uid="{7326C92D-15C3-814D-9397-23D7261F948D}"/>
    <hyperlink ref="N235" r:id="rId129" location="srp" xr:uid="{C4867179-C436-7647-87B9-79639AFE2258}"/>
    <hyperlink ref="N234" r:id="rId130" xr:uid="{474A4452-15A8-5147-92A7-6BF0BFAFD360}"/>
    <hyperlink ref="N233" r:id="rId131" xr:uid="{929C171D-DBC3-8149-86FE-B167B374F052}"/>
    <hyperlink ref="N237" r:id="rId132" xr:uid="{12E6294A-5736-B94F-87BF-1F80212685CE}"/>
    <hyperlink ref="N238" r:id="rId133" xr:uid="{7CE13F78-54A0-664A-B030-221E246A8C74}"/>
    <hyperlink ref="N46" r:id="rId134" location="?keyword=blood+lancet" display="https://www.fishersci.ca/shop/products/bd-micro-fine-contact-activated-lancet-3/p-3491417 - ?keyword=blood+lancet" xr:uid="{9E975CFE-1555-FD45-94FC-7243C19DCF8D}"/>
    <hyperlink ref="N71" r:id="rId135" location="?keyword=blood+lancet" display="https://www.fishersci.ca/shop/products/bd-micro-fine-contact-activated-lancet-3/p-3491417 - ?keyword=blood+lancet" xr:uid="{F7ED6360-C650-3C42-87BE-C006309C5C61}"/>
    <hyperlink ref="N76" r:id="rId136" location="?keyword=blood+lancet" display="https://www.fishersci.ca/shop/products/bd-micro-fine-contact-activated-lancet-3/p-3491417 - ?keyword=blood+lancet" xr:uid="{F04B2AE4-5DEE-8C43-8476-A17837F5E4E1}"/>
    <hyperlink ref="N102" r:id="rId137" location="?keyword=blood+lancet" display="https://www.fishersci.ca/shop/products/bd-micro-fine-contact-activated-lancet-3/p-3491417 - ?keyword=blood+lancet" xr:uid="{253BF936-130D-A342-A4B4-1B7C25A10E0F}"/>
    <hyperlink ref="N107" r:id="rId138" location="?keyword=blood+lancet" display="https://www.fishersci.ca/shop/products/bd-micro-fine-contact-activated-lancet-3/p-3491417 - ?keyword=blood+lancet" xr:uid="{6BC1239A-7898-C74B-B963-637D36EC08B1}"/>
    <hyperlink ref="N133" r:id="rId139" location="?keyword=blood+lancet" display="https://www.fishersci.ca/shop/products/bd-micro-fine-contact-activated-lancet-3/p-3491417 - ?keyword=blood+lancet" xr:uid="{615A7A92-0A3C-E540-BABB-0482440744DA}"/>
    <hyperlink ref="N138" r:id="rId140" location="?keyword=blood+lancet" display="https://www.fishersci.ca/shop/products/bd-micro-fine-contact-activated-lancet-3/p-3491417 - ?keyword=blood+lancet" xr:uid="{9D29168D-1566-FB43-B059-C8792D4AFBBF}"/>
    <hyperlink ref="N239" r:id="rId141" xr:uid="{4B9B94B9-2B66-E744-85B6-38CFFB05997D}"/>
    <hyperlink ref="N240" r:id="rId142" xr:uid="{2CBAEBEE-6656-D846-A3DC-C0AE7676A6F8}"/>
    <hyperlink ref="N242" r:id="rId143" xr:uid="{C3A47AA6-D4F6-B24A-8C00-02C04F241D59}"/>
    <hyperlink ref="N244" r:id="rId144" xr:uid="{4CC682AC-3CB6-134F-B31E-FBC7001154F1}"/>
    <hyperlink ref="N245" r:id="rId145" xr:uid="{446CD3DA-E9A4-2D40-939C-C70E0C87FE23}"/>
    <hyperlink ref="N246" r:id="rId146" xr:uid="{96E06A58-F724-C048-A7F8-D83F18ECEFD5}"/>
    <hyperlink ref="N241" r:id="rId147" xr:uid="{E0EE20C4-3ED9-4147-A4CA-C9152D808781}"/>
    <hyperlink ref="N243" r:id="rId148" xr:uid="{BDFB78E5-91C2-8046-8635-446647668129}"/>
    <hyperlink ref="N250" r:id="rId149" location="srp" xr:uid="{ADA0E824-1915-B34B-AC96-72B470FD9979}"/>
    <hyperlink ref="N249" r:id="rId150" location="srp" xr:uid="{A1BC2E6E-251F-6443-998E-AC0A20A86362}"/>
    <hyperlink ref="N248" r:id="rId151" xr:uid="{BBA4A16F-335F-5A4F-A907-DA09CBA75F60}"/>
    <hyperlink ref="N247" r:id="rId152" xr:uid="{1830FE3C-98FC-C14E-BBF5-79CD232B6F01}"/>
    <hyperlink ref="N251" r:id="rId153" xr:uid="{A462D751-2E79-8542-ACF4-8D47ADA11677}"/>
    <hyperlink ref="N252" r:id="rId154" xr:uid="{AC4DD968-42B6-0545-8164-10E99FECCF14}"/>
    <hyperlink ref="N253" r:id="rId155" xr:uid="{54B85FCB-B7E8-2C42-8755-67F09AB2D519}"/>
    <hyperlink ref="N255" r:id="rId156" xr:uid="{58982B53-0E3A-7A48-BDDE-4653941E3352}"/>
    <hyperlink ref="N257" r:id="rId157" xr:uid="{E711BCE5-8DB0-8A4B-AA0E-556151898E07}"/>
    <hyperlink ref="N258" r:id="rId158" xr:uid="{629904BF-0A28-084E-8051-E422CF8BCB17}"/>
    <hyperlink ref="N259" r:id="rId159" xr:uid="{928FB76E-373A-D944-958F-3DC1F3961FFD}"/>
    <hyperlink ref="N254" r:id="rId160" xr:uid="{4567B7D7-F9D4-754E-8821-C8FA06524120}"/>
    <hyperlink ref="N256" r:id="rId161" xr:uid="{E8BD1419-3112-6E48-814C-9CE4DC595698}"/>
    <hyperlink ref="N263" r:id="rId162" location="srp" xr:uid="{08937A2A-93E3-B74A-8FC5-71901C33042E}"/>
    <hyperlink ref="N262" r:id="rId163" location="srp" xr:uid="{1FF34D47-722C-4B40-A511-80ADC6AB8034}"/>
    <hyperlink ref="N261" r:id="rId164" xr:uid="{ACF50B8C-837C-D54D-AE20-8ED12F2AC6B1}"/>
    <hyperlink ref="N260" r:id="rId165" xr:uid="{B71D521A-FBBB-494E-944D-62AADB9102EC}"/>
    <hyperlink ref="N264" r:id="rId166" xr:uid="{2270496F-A702-9D46-93F7-FA89A93EBBB4}"/>
    <hyperlink ref="N153" r:id="rId167" xr:uid="{58CA997A-9436-AA4F-87C2-BCAFFFBC4108}"/>
    <hyperlink ref="N152" r:id="rId168" xr:uid="{30E12E0F-4D26-E64C-9756-08891B01822D}"/>
  </hyperlinks>
  <pageMargins left="0.7" right="0.7" top="0.75" bottom="0.75" header="0.3" footer="0.3"/>
  <pageSetup orientation="portrait" horizontalDpi="1200" verticalDpi="1200" r:id="rId169"/>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8F2AE-B41F-4D61-BD13-8643E73ED4C5}">
  <dimension ref="B2:N369"/>
  <sheetViews>
    <sheetView zoomScale="89" zoomScaleNormal="70" workbookViewId="0">
      <selection activeCell="L351" sqref="L351"/>
    </sheetView>
  </sheetViews>
  <sheetFormatPr defaultColWidth="10.625" defaultRowHeight="15.75"/>
  <cols>
    <col min="1" max="1" width="4" style="1" customWidth="1"/>
    <col min="2" max="2" width="32.125" style="1" customWidth="1"/>
    <col min="3" max="3" width="31.5" style="1" customWidth="1"/>
    <col min="4" max="4" width="21.125" style="2" customWidth="1"/>
    <col min="5" max="5" width="10.625" style="21"/>
    <col min="6" max="6" width="15.625" style="2" customWidth="1"/>
    <col min="7" max="7" width="20.125" style="1" customWidth="1"/>
    <col min="8" max="8" width="11" style="3" bestFit="1" customWidth="1"/>
    <col min="9" max="9" width="11" style="32" customWidth="1"/>
    <col min="10" max="11" width="12.625" style="1" customWidth="1"/>
    <col min="12" max="12" width="21.625" style="4" customWidth="1"/>
    <col min="13" max="13" width="99.125" style="1" customWidth="1"/>
    <col min="14" max="14" width="97" style="1" customWidth="1"/>
    <col min="15" max="16384" width="10.625" style="1"/>
  </cols>
  <sheetData>
    <row r="2" spans="2:14" ht="20.100000000000001" customHeight="1">
      <c r="B2" s="551" t="s">
        <v>88</v>
      </c>
      <c r="C2" s="551"/>
      <c r="D2" s="551"/>
    </row>
    <row r="3" spans="2:14" ht="16.5" thickBot="1"/>
    <row r="4" spans="2:14" ht="20.100000000000001" customHeight="1" thickBot="1">
      <c r="B4" s="278" t="s">
        <v>89</v>
      </c>
      <c r="C4" s="279">
        <f>DASHBOARD!D83+DASHBOARD!D87</f>
        <v>113360</v>
      </c>
      <c r="D4" s="106"/>
    </row>
    <row r="5" spans="2:14" ht="20.100000000000001" customHeight="1">
      <c r="B5" s="44" t="s">
        <v>494</v>
      </c>
      <c r="C5" s="73">
        <f>C4-(C4*DASHBOARD!AB16)</f>
        <v>102279.15967155409</v>
      </c>
      <c r="D5" s="106"/>
    </row>
    <row r="6" spans="2:14" ht="22.35" customHeight="1">
      <c r="B6" s="44" t="s">
        <v>98</v>
      </c>
      <c r="C6" s="73">
        <f>DASHBOARD!D106</f>
        <v>14</v>
      </c>
      <c r="D6" s="106"/>
    </row>
    <row r="7" spans="2:14" ht="21" customHeight="1">
      <c r="B7" s="44" t="s">
        <v>99</v>
      </c>
      <c r="C7" s="73">
        <f>DASHBOARD!D107</f>
        <v>2</v>
      </c>
      <c r="D7" s="106"/>
    </row>
    <row r="8" spans="2:14" ht="32.1" customHeight="1">
      <c r="B8" s="39" t="s">
        <v>35</v>
      </c>
      <c r="C8" s="37">
        <f>DASHBOARD!D101</f>
        <v>1.23E-3</v>
      </c>
      <c r="D8" s="106"/>
    </row>
    <row r="9" spans="2:14" ht="19.350000000000001" customHeight="1">
      <c r="B9" s="81" t="s">
        <v>186</v>
      </c>
      <c r="C9" s="82">
        <f>DASHBOARD!D91</f>
        <v>1612</v>
      </c>
      <c r="D9" s="106"/>
    </row>
    <row r="10" spans="2:14" ht="24" customHeight="1">
      <c r="B10" s="81" t="s">
        <v>187</v>
      </c>
      <c r="C10" s="82">
        <f>C9</f>
        <v>1612</v>
      </c>
      <c r="D10" s="106"/>
    </row>
    <row r="11" spans="2:14" ht="24" customHeight="1">
      <c r="B11" s="81" t="s">
        <v>188</v>
      </c>
      <c r="C11" s="82">
        <f>C10-C13</f>
        <v>1161.4484637347093</v>
      </c>
      <c r="D11" s="106"/>
    </row>
    <row r="12" spans="2:14" ht="24" customHeight="1">
      <c r="B12" s="81" t="s">
        <v>181</v>
      </c>
      <c r="C12" s="93">
        <f>C4/C9</f>
        <v>70.322580645161295</v>
      </c>
      <c r="D12" s="106"/>
    </row>
    <row r="13" spans="2:14" ht="21" customHeight="1">
      <c r="B13" s="81" t="s">
        <v>185</v>
      </c>
      <c r="C13" s="82">
        <f>DASHBOARD!D92</f>
        <v>450.55153626529062</v>
      </c>
      <c r="D13" s="106"/>
    </row>
    <row r="14" spans="2:14" ht="45" customHeight="1" thickBot="1">
      <c r="B14" s="40" t="s">
        <v>39</v>
      </c>
      <c r="C14" s="35" t="s">
        <v>446</v>
      </c>
      <c r="D14" s="106"/>
    </row>
    <row r="15" spans="2:14" ht="16.5" thickBot="1">
      <c r="B15" s="28"/>
      <c r="C15" s="28"/>
      <c r="D15" s="29"/>
      <c r="E15" s="18"/>
      <c r="F15" s="29"/>
      <c r="G15" s="28"/>
      <c r="H15" s="30"/>
      <c r="I15" s="33"/>
      <c r="J15" s="28"/>
      <c r="K15" s="28"/>
      <c r="L15" s="31"/>
      <c r="M15" s="28"/>
      <c r="N15" s="28"/>
    </row>
    <row r="16" spans="2:14" ht="63.75" thickBot="1">
      <c r="B16" s="45" t="s">
        <v>0</v>
      </c>
      <c r="C16" s="45" t="s">
        <v>85</v>
      </c>
      <c r="D16" s="45" t="s">
        <v>5</v>
      </c>
      <c r="E16" s="46" t="s">
        <v>1</v>
      </c>
      <c r="F16" s="45" t="s">
        <v>4</v>
      </c>
      <c r="G16" s="45" t="s">
        <v>19</v>
      </c>
      <c r="H16" s="47" t="s">
        <v>37</v>
      </c>
      <c r="I16" s="48" t="s">
        <v>42</v>
      </c>
      <c r="J16" s="45" t="s">
        <v>20</v>
      </c>
      <c r="K16" s="45" t="s">
        <v>459</v>
      </c>
      <c r="L16" s="49" t="s">
        <v>3</v>
      </c>
      <c r="M16" s="50" t="s">
        <v>36</v>
      </c>
      <c r="N16" s="86" t="s">
        <v>125</v>
      </c>
    </row>
    <row r="17" spans="2:14" ht="26.1" customHeight="1">
      <c r="B17" s="15" t="s">
        <v>2</v>
      </c>
      <c r="C17" s="8">
        <f>C4</f>
        <v>113360</v>
      </c>
      <c r="D17" s="13">
        <v>1</v>
      </c>
      <c r="E17" s="19">
        <v>1</v>
      </c>
      <c r="F17" s="13">
        <v>1</v>
      </c>
      <c r="G17" s="42" t="s">
        <v>14</v>
      </c>
      <c r="H17" s="7">
        <f>DASHBOARD!D35</f>
        <v>24.612000000000002</v>
      </c>
      <c r="I17" s="34">
        <v>8</v>
      </c>
      <c r="J17" s="71">
        <f>0.2083333333*(8/7)*DASHBOARD!$D$131</f>
        <v>0.23809523805714286</v>
      </c>
      <c r="K17" s="71">
        <f>I17*J17</f>
        <v>1.9047619044571429</v>
      </c>
      <c r="L17" s="6">
        <f>H17*I17*J17</f>
        <v>46.879999992499201</v>
      </c>
      <c r="M17" s="1" t="s">
        <v>250</v>
      </c>
      <c r="N17" s="87" t="s">
        <v>111</v>
      </c>
    </row>
    <row r="18" spans="2:14" ht="26.1" customHeight="1">
      <c r="B18" s="15"/>
      <c r="C18" s="8"/>
      <c r="D18" s="13"/>
      <c r="E18" s="19"/>
      <c r="F18" s="13"/>
      <c r="G18" s="42" t="s">
        <v>230</v>
      </c>
      <c r="H18" s="56">
        <f>DASHBOARD!D55</f>
        <v>32.963999999999999</v>
      </c>
      <c r="I18" s="34">
        <v>0</v>
      </c>
      <c r="J18" s="71">
        <f>J17/5</f>
        <v>4.7619047611428572E-2</v>
      </c>
      <c r="K18" s="71">
        <f t="shared" ref="K18:K21" si="0">I18*J18</f>
        <v>0</v>
      </c>
      <c r="L18" s="6">
        <f>H18*I18*J18</f>
        <v>0</v>
      </c>
      <c r="M18" s="1" t="s">
        <v>245</v>
      </c>
      <c r="N18" s="87" t="s">
        <v>244</v>
      </c>
    </row>
    <row r="19" spans="2:14" ht="26.1" customHeight="1">
      <c r="B19" s="15"/>
      <c r="C19" s="8"/>
      <c r="D19" s="13"/>
      <c r="E19" s="19"/>
      <c r="F19" s="13" t="s">
        <v>179</v>
      </c>
      <c r="G19" s="42" t="s">
        <v>14</v>
      </c>
      <c r="H19" s="7">
        <f>DASHBOARD!D35</f>
        <v>24.612000000000002</v>
      </c>
      <c r="I19" s="34">
        <v>8</v>
      </c>
      <c r="J19" s="71">
        <f>((((0.5*C9)+(0.5*C17/100))/8)/C17)*100*(8/7)</f>
        <v>0.17300131061598953</v>
      </c>
      <c r="K19" s="71">
        <f t="shared" si="0"/>
        <v>1.3840104849279162</v>
      </c>
      <c r="L19" s="6">
        <f>H19*I19*J19</f>
        <v>34.063266055045879</v>
      </c>
      <c r="M19" s="1" t="s">
        <v>182</v>
      </c>
      <c r="N19" s="87"/>
    </row>
    <row r="20" spans="2:14" ht="26.1" customHeight="1">
      <c r="B20" s="15"/>
      <c r="C20" s="8"/>
      <c r="D20" s="13"/>
      <c r="E20" s="19"/>
      <c r="F20" s="13"/>
      <c r="G20" s="42" t="s">
        <v>17</v>
      </c>
      <c r="H20" s="3">
        <f>DASHBOARD!D36</f>
        <v>45.12</v>
      </c>
      <c r="I20" s="34">
        <f>I19</f>
        <v>8</v>
      </c>
      <c r="J20" s="71">
        <f>J19/2</f>
        <v>8.6500655307994764E-2</v>
      </c>
      <c r="K20" s="71">
        <f t="shared" si="0"/>
        <v>0.69200524246395811</v>
      </c>
      <c r="L20" s="6">
        <f>H20*I20*J20</f>
        <v>31.223276539973789</v>
      </c>
      <c r="M20" s="1" t="s">
        <v>183</v>
      </c>
      <c r="N20" s="87"/>
    </row>
    <row r="21" spans="2:14" ht="37.35" customHeight="1">
      <c r="B21" s="15"/>
      <c r="C21" s="8"/>
      <c r="D21" s="13"/>
      <c r="E21" s="19"/>
      <c r="F21" s="13"/>
      <c r="G21" s="42" t="s">
        <v>180</v>
      </c>
      <c r="H21" s="7">
        <f>DASHBOARD!D53</f>
        <v>121.78799999999998</v>
      </c>
      <c r="I21" s="34">
        <f>I19</f>
        <v>8</v>
      </c>
      <c r="J21" s="71">
        <f>J19/2</f>
        <v>8.6500655307994764E-2</v>
      </c>
      <c r="K21" s="71">
        <f t="shared" si="0"/>
        <v>0.69200524246395811</v>
      </c>
      <c r="L21" s="6">
        <f>H21*I21*J21</f>
        <v>84.277934469200517</v>
      </c>
      <c r="M21" s="1" t="s">
        <v>247</v>
      </c>
      <c r="N21" s="87" t="s">
        <v>246</v>
      </c>
    </row>
    <row r="22" spans="2:14" ht="22.35" customHeight="1" thickBot="1">
      <c r="B22" s="9" t="s">
        <v>7</v>
      </c>
      <c r="C22" s="10"/>
      <c r="D22" s="14"/>
      <c r="E22" s="20"/>
      <c r="F22" s="14"/>
      <c r="G22" s="10"/>
      <c r="H22" s="549" t="s">
        <v>81</v>
      </c>
      <c r="I22" s="549"/>
      <c r="J22" s="549"/>
      <c r="K22" s="243"/>
      <c r="L22" s="70">
        <f>(D17*F17*L17)+((D17*F17*SUM(L19:L21)))</f>
        <v>196.44447705671936</v>
      </c>
      <c r="M22" s="69" t="str">
        <f>"Per Person Cost is "&amp;ROUND(L22/100,2)&amp;" and the cost per "&amp;$C$4&amp;" people is "&amp;ROUND(L22/100*$C$4,2)</f>
        <v>Per Person Cost is 1.96 and the cost per 113360 people is 222689.46</v>
      </c>
    </row>
    <row r="23" spans="2:14" ht="47.25">
      <c r="B23" s="16" t="s">
        <v>15</v>
      </c>
      <c r="C23" s="43">
        <f>C4</f>
        <v>113360</v>
      </c>
      <c r="D23" s="115">
        <f>(C5/C4)*DASHBOARD!$D$139</f>
        <v>0.90225087924800718</v>
      </c>
      <c r="E23" s="21" t="s">
        <v>266</v>
      </c>
      <c r="F23" s="2">
        <f>(1-DASHBOARD!$D$128)*(1-DASHBOARD!$D$123)</f>
        <v>1</v>
      </c>
      <c r="G23" s="42" t="s">
        <v>158</v>
      </c>
      <c r="H23" s="3">
        <f>DASHBOARD!$D$65</f>
        <v>42.91</v>
      </c>
      <c r="I23" s="32">
        <f>I25/8</f>
        <v>1</v>
      </c>
      <c r="J23" s="11">
        <f>J25</f>
        <v>15.259057494464393</v>
      </c>
      <c r="K23" s="11">
        <f>D23*F23*I23*J23</f>
        <v>13.767498040876392</v>
      </c>
      <c r="L23" s="6">
        <f t="shared" ref="L23:L118" si="1">H23*I23*J23</f>
        <v>654.76615708746704</v>
      </c>
      <c r="N23" s="87"/>
    </row>
    <row r="24" spans="2:14" ht="19.350000000000001" customHeight="1">
      <c r="B24" s="16"/>
      <c r="C24" s="5"/>
      <c r="F24" s="2" t="s">
        <v>468</v>
      </c>
      <c r="G24" s="42" t="s">
        <v>14</v>
      </c>
      <c r="H24" s="3">
        <f>DASHBOARD!$D$35</f>
        <v>24.612000000000002</v>
      </c>
      <c r="I24" s="32">
        <v>8</v>
      </c>
      <c r="J24" s="11">
        <f>J25</f>
        <v>15.259057494464393</v>
      </c>
      <c r="K24" s="11">
        <f>D23*F23*I24*J24</f>
        <v>110.13998432701113</v>
      </c>
      <c r="L24" s="6">
        <f t="shared" si="1"/>
        <v>3004.4473844300614</v>
      </c>
      <c r="M24" s="1" t="s">
        <v>197</v>
      </c>
      <c r="N24" s="87"/>
    </row>
    <row r="25" spans="2:14" ht="47.25">
      <c r="B25" s="16"/>
      <c r="C25" s="5"/>
      <c r="F25" s="2" t="s">
        <v>468</v>
      </c>
      <c r="G25" s="42" t="s">
        <v>17</v>
      </c>
      <c r="H25" s="3">
        <f>DASHBOARD!$D$36</f>
        <v>45.12</v>
      </c>
      <c r="I25" s="32">
        <v>8</v>
      </c>
      <c r="J25" s="11">
        <f>((45*$C$11+7.5*$C$5))/($C$23*(C5/C4))*100/60*(8/7)</f>
        <v>15.259057494464393</v>
      </c>
      <c r="K25" s="11">
        <f>D23*F23*I25*J25</f>
        <v>110.13998432701113</v>
      </c>
      <c r="L25" s="6">
        <f t="shared" si="1"/>
        <v>5507.9093932018668</v>
      </c>
      <c r="M25" s="1" t="s">
        <v>198</v>
      </c>
      <c r="N25" s="87"/>
    </row>
    <row r="26" spans="2:14">
      <c r="B26" s="16"/>
      <c r="C26" s="5"/>
      <c r="G26" s="42" t="s">
        <v>202</v>
      </c>
      <c r="H26" s="3">
        <f>DASHBOARD!$D$78</f>
        <v>0</v>
      </c>
      <c r="I26" s="32">
        <v>1</v>
      </c>
      <c r="J26" s="11">
        <v>100</v>
      </c>
      <c r="K26" s="11"/>
      <c r="L26" s="6">
        <f t="shared" si="1"/>
        <v>0</v>
      </c>
      <c r="N26" s="87"/>
    </row>
    <row r="27" spans="2:14">
      <c r="B27" s="16"/>
      <c r="C27" s="5"/>
      <c r="G27" s="72" t="s">
        <v>199</v>
      </c>
      <c r="H27" s="3">
        <f>DASHBOARD!$D$77</f>
        <v>100.99</v>
      </c>
      <c r="I27" s="32">
        <v>1</v>
      </c>
      <c r="J27" s="11">
        <f>J23/8</f>
        <v>1.9073821868080492</v>
      </c>
      <c r="K27" s="11"/>
      <c r="L27" s="6">
        <f t="shared" si="1"/>
        <v>192.62652704574487</v>
      </c>
      <c r="M27" s="1" t="s">
        <v>200</v>
      </c>
      <c r="N27" s="88" t="s">
        <v>201</v>
      </c>
    </row>
    <row r="28" spans="2:14">
      <c r="B28" s="16"/>
      <c r="C28" s="5"/>
      <c r="G28" s="5" t="s">
        <v>8</v>
      </c>
      <c r="H28" s="7">
        <f>DASHBOARD!$D$56</f>
        <v>0.16259999999999999</v>
      </c>
      <c r="I28" s="34">
        <v>1</v>
      </c>
      <c r="J28" s="11">
        <f>4*J24</f>
        <v>61.036229977857573</v>
      </c>
      <c r="K28" s="11"/>
      <c r="L28" s="6">
        <f t="shared" si="1"/>
        <v>9.9244909943996404</v>
      </c>
      <c r="M28" s="1" t="s">
        <v>121</v>
      </c>
      <c r="N28" s="87" t="s">
        <v>116</v>
      </c>
    </row>
    <row r="29" spans="2:14">
      <c r="B29" s="16"/>
      <c r="C29" s="5"/>
      <c r="G29" s="5" t="s">
        <v>41</v>
      </c>
      <c r="H29" s="7">
        <f>DASHBOARD!$D$57</f>
        <v>3.95</v>
      </c>
      <c r="I29" s="34">
        <v>1</v>
      </c>
      <c r="J29" s="11">
        <f>(4*J25)</f>
        <v>61.036229977857573</v>
      </c>
      <c r="K29" s="12"/>
      <c r="L29" s="6">
        <f t="shared" si="1"/>
        <v>241.09310841253742</v>
      </c>
      <c r="M29" s="1" t="s">
        <v>122</v>
      </c>
      <c r="N29" s="87" t="s">
        <v>117</v>
      </c>
    </row>
    <row r="30" spans="2:14">
      <c r="B30" s="16"/>
      <c r="C30" s="5"/>
      <c r="G30" s="5" t="s">
        <v>9</v>
      </c>
      <c r="H30" s="7">
        <f>DASHBOARD!$D$58</f>
        <v>13.95</v>
      </c>
      <c r="I30" s="34">
        <v>1</v>
      </c>
      <c r="J30" s="11">
        <f>(4*J25)</f>
        <v>61.036229977857573</v>
      </c>
      <c r="K30" s="12"/>
      <c r="L30" s="6">
        <f t="shared" si="1"/>
        <v>851.45540819111307</v>
      </c>
      <c r="M30" s="1" t="s">
        <v>122</v>
      </c>
      <c r="N30" s="87" t="s">
        <v>118</v>
      </c>
    </row>
    <row r="31" spans="2:14" ht="31.5">
      <c r="B31" s="16" t="s">
        <v>276</v>
      </c>
      <c r="C31" s="5"/>
      <c r="G31" s="5" t="s">
        <v>16</v>
      </c>
      <c r="H31" s="7">
        <f>DASHBOARD!$D$59</f>
        <v>0.23960000000000001</v>
      </c>
      <c r="I31" s="34">
        <v>1</v>
      </c>
      <c r="J31" s="12">
        <f>(4*J24)+100</f>
        <v>161.03622997785757</v>
      </c>
      <c r="K31" s="5"/>
      <c r="L31" s="6">
        <f t="shared" si="1"/>
        <v>38.584280702694677</v>
      </c>
      <c r="M31" s="1" t="s">
        <v>123</v>
      </c>
      <c r="N31" s="87" t="s">
        <v>119</v>
      </c>
    </row>
    <row r="32" spans="2:14" ht="31.5">
      <c r="B32" s="16" t="s">
        <v>259</v>
      </c>
      <c r="C32" s="5"/>
      <c r="G32" s="5" t="s">
        <v>10</v>
      </c>
      <c r="H32" s="7">
        <f>DASHBOARD!$D$60</f>
        <v>1.7004999999999999</v>
      </c>
      <c r="I32" s="34">
        <v>1</v>
      </c>
      <c r="J32" s="12">
        <f>100</f>
        <v>100</v>
      </c>
      <c r="K32" s="5"/>
      <c r="L32" s="6">
        <f t="shared" si="1"/>
        <v>170.04999999999998</v>
      </c>
      <c r="M32" s="1" t="s">
        <v>124</v>
      </c>
      <c r="N32" s="87" t="s">
        <v>119</v>
      </c>
    </row>
    <row r="33" spans="2:14">
      <c r="B33" s="16"/>
      <c r="C33" s="5"/>
      <c r="G33" s="5" t="s">
        <v>144</v>
      </c>
      <c r="H33" s="7">
        <f>DASHBOARD!$D$61</f>
        <v>3.32</v>
      </c>
      <c r="I33" s="34">
        <v>1</v>
      </c>
      <c r="J33" s="5">
        <v>100</v>
      </c>
      <c r="K33" s="5"/>
      <c r="L33" s="6">
        <f t="shared" si="1"/>
        <v>332</v>
      </c>
      <c r="M33" s="1" t="s">
        <v>145</v>
      </c>
      <c r="N33" s="89" t="s">
        <v>147</v>
      </c>
    </row>
    <row r="34" spans="2:14">
      <c r="B34" s="16"/>
      <c r="C34" s="5"/>
      <c r="G34" s="5" t="s">
        <v>11</v>
      </c>
      <c r="H34" s="7">
        <f>DASHBOARD!$D$62</f>
        <v>0.72</v>
      </c>
      <c r="I34" s="34">
        <v>1</v>
      </c>
      <c r="J34" s="5">
        <f>100</f>
        <v>100</v>
      </c>
      <c r="K34" s="5"/>
      <c r="L34" s="6">
        <f t="shared" si="1"/>
        <v>72</v>
      </c>
      <c r="M34" s="1" t="s">
        <v>146</v>
      </c>
      <c r="N34" s="89" t="s">
        <v>148</v>
      </c>
    </row>
    <row r="35" spans="2:14">
      <c r="B35" s="16"/>
      <c r="C35" s="5"/>
      <c r="F35" s="119">
        <f>DASHBOARD!$D$110</f>
        <v>0</v>
      </c>
      <c r="G35" s="120" t="s">
        <v>17</v>
      </c>
      <c r="H35" s="121">
        <f>DASHBOARD!$D$36</f>
        <v>45.12</v>
      </c>
      <c r="I35" s="122">
        <v>8</v>
      </c>
      <c r="J35" s="120">
        <f>0.625*F35*(8/7)</f>
        <v>0</v>
      </c>
      <c r="K35" s="120"/>
      <c r="L35" s="123">
        <f>F35*H35*I35*J35</f>
        <v>0</v>
      </c>
      <c r="M35" s="1" t="s">
        <v>287</v>
      </c>
      <c r="N35" s="89"/>
    </row>
    <row r="36" spans="2:14">
      <c r="B36" s="16"/>
      <c r="C36" s="5"/>
      <c r="F36" s="124" t="s">
        <v>281</v>
      </c>
      <c r="G36" s="120" t="s">
        <v>14</v>
      </c>
      <c r="H36" s="121">
        <f>DASHBOARD!$D$35</f>
        <v>24.612000000000002</v>
      </c>
      <c r="I36" s="122">
        <v>8</v>
      </c>
      <c r="J36" s="120">
        <f>0.625*(8/7)</f>
        <v>0.71428571428571419</v>
      </c>
      <c r="K36" s="120"/>
      <c r="L36" s="123">
        <f>F35*H36*I36*J36</f>
        <v>0</v>
      </c>
      <c r="M36" s="1" t="s">
        <v>287</v>
      </c>
      <c r="N36" s="89"/>
    </row>
    <row r="37" spans="2:14">
      <c r="B37" s="16"/>
      <c r="C37" s="5"/>
      <c r="F37" s="124"/>
      <c r="G37" s="120" t="s">
        <v>291</v>
      </c>
      <c r="H37" s="121">
        <f>DASHBOARD!$D$59</f>
        <v>0.23960000000000001</v>
      </c>
      <c r="I37" s="122">
        <v>1</v>
      </c>
      <c r="J37" s="120">
        <v>100</v>
      </c>
      <c r="K37" s="120"/>
      <c r="L37" s="123">
        <f>F35*H37*I37*J37</f>
        <v>0</v>
      </c>
      <c r="N37" s="89"/>
    </row>
    <row r="38" spans="2:14">
      <c r="B38" s="16"/>
      <c r="C38" s="5"/>
      <c r="F38" s="119"/>
      <c r="G38" s="120" t="s">
        <v>284</v>
      </c>
      <c r="H38" s="121">
        <v>10</v>
      </c>
      <c r="I38" s="122">
        <v>1</v>
      </c>
      <c r="J38" s="120">
        <v>100</v>
      </c>
      <c r="K38" s="120"/>
      <c r="L38" s="123">
        <f>F35*H38*I38*J38</f>
        <v>0</v>
      </c>
      <c r="M38" s="1" t="s">
        <v>290</v>
      </c>
      <c r="N38" s="89"/>
    </row>
    <row r="39" spans="2:14">
      <c r="B39" s="16"/>
      <c r="C39" s="5"/>
      <c r="F39" s="119"/>
      <c r="G39" s="120" t="s">
        <v>283</v>
      </c>
      <c r="H39" s="121">
        <v>0.84</v>
      </c>
      <c r="I39" s="122">
        <v>1</v>
      </c>
      <c r="J39" s="120">
        <v>100</v>
      </c>
      <c r="K39" s="120"/>
      <c r="L39" s="123">
        <f>F35*H39*I39*J39</f>
        <v>0</v>
      </c>
      <c r="M39" s="1" t="s">
        <v>288</v>
      </c>
      <c r="N39" s="88" t="s">
        <v>289</v>
      </c>
    </row>
    <row r="40" spans="2:14">
      <c r="B40" s="17"/>
      <c r="F40" s="154">
        <f>DASHBOARD!$D$112</f>
        <v>0</v>
      </c>
      <c r="G40" s="155" t="s">
        <v>386</v>
      </c>
      <c r="H40" s="156">
        <f>DASHBOARD!$D$42</f>
        <v>30</v>
      </c>
      <c r="I40" s="157">
        <v>8</v>
      </c>
      <c r="J40" s="155">
        <f>((DASHBOARD!$D$113*100)/480)*(8/7)</f>
        <v>1.1904761904761905</v>
      </c>
      <c r="K40" s="155">
        <f>D23*F40*F23*I40*J40</f>
        <v>0</v>
      </c>
      <c r="L40" s="158">
        <f>F40*H40*I40*J40</f>
        <v>0</v>
      </c>
      <c r="M40" s="1" t="s">
        <v>460</v>
      </c>
      <c r="N40" s="88" t="s">
        <v>387</v>
      </c>
    </row>
    <row r="41" spans="2:14">
      <c r="B41" s="17"/>
      <c r="F41" s="159" t="s">
        <v>281</v>
      </c>
      <c r="G41" s="155" t="s">
        <v>382</v>
      </c>
      <c r="H41" s="156">
        <f>DASHBOARD!$D$59</f>
        <v>0.23960000000000001</v>
      </c>
      <c r="I41" s="157">
        <v>1</v>
      </c>
      <c r="J41" s="155">
        <v>100</v>
      </c>
      <c r="K41" s="155"/>
      <c r="L41" s="158">
        <f>F40*H41*I41*J41</f>
        <v>0</v>
      </c>
      <c r="M41" s="1" t="s">
        <v>388</v>
      </c>
      <c r="N41" s="88"/>
    </row>
    <row r="42" spans="2:14">
      <c r="B42" s="17"/>
      <c r="F42" s="159" t="s">
        <v>380</v>
      </c>
      <c r="G42" s="155" t="s">
        <v>383</v>
      </c>
      <c r="H42" s="156">
        <f>DASHBOARD!$D$60</f>
        <v>1.7004999999999999</v>
      </c>
      <c r="I42" s="157">
        <v>1</v>
      </c>
      <c r="J42" s="155">
        <v>100</v>
      </c>
      <c r="K42" s="155"/>
      <c r="L42" s="158">
        <f>F40*H42*I42*J42</f>
        <v>0</v>
      </c>
      <c r="M42" s="1" t="s">
        <v>388</v>
      </c>
      <c r="N42" s="88"/>
    </row>
    <row r="43" spans="2:14">
      <c r="B43" s="17"/>
      <c r="F43" s="154"/>
      <c r="G43" s="155" t="s">
        <v>41</v>
      </c>
      <c r="H43" s="156">
        <f>DASHBOARD!$D$57</f>
        <v>3.95</v>
      </c>
      <c r="I43" s="157">
        <v>1</v>
      </c>
      <c r="J43" s="155">
        <f>I40*J40/2</f>
        <v>4.7619047619047619</v>
      </c>
      <c r="K43" s="155"/>
      <c r="L43" s="158">
        <f>F40*H43*I43*J43</f>
        <v>0</v>
      </c>
      <c r="M43" s="1" t="s">
        <v>385</v>
      </c>
      <c r="N43" s="88"/>
    </row>
    <row r="44" spans="2:14">
      <c r="B44" s="17"/>
      <c r="F44" s="154"/>
      <c r="G44" s="155" t="s">
        <v>384</v>
      </c>
      <c r="H44" s="156">
        <f>DASHBOARD!$D$58</f>
        <v>13.95</v>
      </c>
      <c r="I44" s="157">
        <v>1</v>
      </c>
      <c r="J44" s="155">
        <f>I40*J40/2</f>
        <v>4.7619047619047619</v>
      </c>
      <c r="K44" s="155"/>
      <c r="L44" s="158">
        <f>F40*H44*I44*J44</f>
        <v>0</v>
      </c>
      <c r="M44" s="1" t="s">
        <v>385</v>
      </c>
      <c r="N44" s="88"/>
    </row>
    <row r="45" spans="2:14">
      <c r="B45" s="17"/>
      <c r="F45" s="154"/>
      <c r="G45" s="155" t="s">
        <v>389</v>
      </c>
      <c r="H45" s="156">
        <f>DASHBOARD!$D$71</f>
        <v>2.2799999999999998</v>
      </c>
      <c r="I45" s="157">
        <v>1</v>
      </c>
      <c r="J45" s="155">
        <v>100</v>
      </c>
      <c r="K45" s="155"/>
      <c r="L45" s="158">
        <f>F40*H45*I45*J45</f>
        <v>0</v>
      </c>
      <c r="M45" s="1" t="s">
        <v>390</v>
      </c>
      <c r="N45" s="88" t="s">
        <v>391</v>
      </c>
    </row>
    <row r="46" spans="2:14">
      <c r="B46" s="17"/>
      <c r="F46" s="154"/>
      <c r="G46" s="155" t="s">
        <v>392</v>
      </c>
      <c r="H46" s="156">
        <f>DASHBOARD!$D$72</f>
        <v>0.39</v>
      </c>
      <c r="I46" s="157">
        <v>1</v>
      </c>
      <c r="J46" s="155">
        <v>100</v>
      </c>
      <c r="K46" s="155"/>
      <c r="L46" s="158">
        <f>F40*H46*I46*J46</f>
        <v>0</v>
      </c>
      <c r="M46" s="1" t="s">
        <v>393</v>
      </c>
      <c r="N46" s="88" t="s">
        <v>394</v>
      </c>
    </row>
    <row r="47" spans="2:14">
      <c r="B47" s="16"/>
      <c r="C47" s="5"/>
      <c r="F47" s="2">
        <f>(1-DASHBOARD!$D$128)*DASHBOARD!$D$123</f>
        <v>0</v>
      </c>
      <c r="G47" s="42" t="s">
        <v>158</v>
      </c>
      <c r="H47" s="3">
        <f>DASHBOARD!$D$65</f>
        <v>42.91</v>
      </c>
      <c r="I47" s="32">
        <f>I49/8</f>
        <v>1</v>
      </c>
      <c r="J47" s="11">
        <f>J49</f>
        <v>15.259057494464393</v>
      </c>
      <c r="K47" s="11">
        <f>D23*F47*I47*J47</f>
        <v>0</v>
      </c>
      <c r="L47" s="6">
        <f t="shared" ref="L47:L104" si="2">H47*I47*J47</f>
        <v>654.76615708746704</v>
      </c>
      <c r="N47" s="87"/>
    </row>
    <row r="48" spans="2:14">
      <c r="B48" s="16"/>
      <c r="C48" s="5"/>
      <c r="F48" s="2" t="s">
        <v>468</v>
      </c>
      <c r="G48" s="42" t="s">
        <v>14</v>
      </c>
      <c r="H48" s="3">
        <f>DASHBOARD!$D$35</f>
        <v>24.612000000000002</v>
      </c>
      <c r="I48" s="32">
        <v>8</v>
      </c>
      <c r="J48" s="11">
        <f>J49</f>
        <v>15.259057494464393</v>
      </c>
      <c r="K48" s="11">
        <f>D23*F47*I48*J48</f>
        <v>0</v>
      </c>
      <c r="L48" s="6">
        <f t="shared" si="2"/>
        <v>3004.4473844300614</v>
      </c>
      <c r="M48" s="1" t="s">
        <v>256</v>
      </c>
      <c r="N48" s="87"/>
    </row>
    <row r="49" spans="2:14">
      <c r="B49" s="16"/>
      <c r="C49" s="5"/>
      <c r="F49" s="2" t="s">
        <v>468</v>
      </c>
      <c r="G49" s="42" t="s">
        <v>17</v>
      </c>
      <c r="H49" s="3">
        <f>DASHBOARD!$D$36</f>
        <v>45.12</v>
      </c>
      <c r="I49" s="32">
        <v>8</v>
      </c>
      <c r="J49" s="11">
        <f>((45*$C$11+7.5*$C$5))/($C$23*(C5/C4))*100/60*(8/7)</f>
        <v>15.259057494464393</v>
      </c>
      <c r="K49" s="11">
        <f>D23*F47*I49*J49</f>
        <v>0</v>
      </c>
      <c r="L49" s="6">
        <f t="shared" si="2"/>
        <v>5507.9093932018668</v>
      </c>
      <c r="M49" s="1" t="s">
        <v>256</v>
      </c>
      <c r="N49" s="87"/>
    </row>
    <row r="50" spans="2:14">
      <c r="B50" s="16"/>
      <c r="C50" s="5"/>
      <c r="G50" s="42" t="s">
        <v>202</v>
      </c>
      <c r="H50" s="3">
        <f>DASHBOARD!$D$78</f>
        <v>0</v>
      </c>
      <c r="I50" s="32">
        <v>1</v>
      </c>
      <c r="J50" s="11">
        <v>100</v>
      </c>
      <c r="K50" s="11"/>
      <c r="L50" s="6">
        <f t="shared" si="2"/>
        <v>0</v>
      </c>
      <c r="N50" s="87"/>
    </row>
    <row r="51" spans="2:14">
      <c r="B51" s="16"/>
      <c r="C51" s="5"/>
      <c r="G51" s="72" t="s">
        <v>199</v>
      </c>
      <c r="H51" s="3">
        <f>DASHBOARD!$D$77</f>
        <v>100.99</v>
      </c>
      <c r="I51" s="32">
        <v>1</v>
      </c>
      <c r="J51" s="11">
        <f>J47/8</f>
        <v>1.9073821868080492</v>
      </c>
      <c r="K51" s="11"/>
      <c r="L51" s="6">
        <f t="shared" si="2"/>
        <v>192.62652704574487</v>
      </c>
      <c r="M51" s="1" t="s">
        <v>200</v>
      </c>
      <c r="N51" s="88" t="s">
        <v>201</v>
      </c>
    </row>
    <row r="52" spans="2:14">
      <c r="B52" s="16"/>
      <c r="C52" s="5"/>
      <c r="G52" s="5" t="s">
        <v>8</v>
      </c>
      <c r="H52" s="7">
        <f>DASHBOARD!$D$56</f>
        <v>0.16259999999999999</v>
      </c>
      <c r="I52" s="34">
        <v>1</v>
      </c>
      <c r="J52" s="11">
        <f>4*J48</f>
        <v>61.036229977857573</v>
      </c>
      <c r="K52" s="11"/>
      <c r="L52" s="6">
        <f t="shared" si="2"/>
        <v>9.9244909943996404</v>
      </c>
      <c r="M52" s="1" t="s">
        <v>121</v>
      </c>
      <c r="N52" s="87" t="s">
        <v>116</v>
      </c>
    </row>
    <row r="53" spans="2:14">
      <c r="B53" s="16"/>
      <c r="C53" s="5"/>
      <c r="G53" s="5" t="s">
        <v>41</v>
      </c>
      <c r="H53" s="7">
        <f>DASHBOARD!$D$57</f>
        <v>3.95</v>
      </c>
      <c r="I53" s="34">
        <v>1</v>
      </c>
      <c r="J53" s="11">
        <f>(4*J49)</f>
        <v>61.036229977857573</v>
      </c>
      <c r="K53" s="11"/>
      <c r="L53" s="6">
        <f t="shared" si="2"/>
        <v>241.09310841253742</v>
      </c>
      <c r="M53" s="1" t="s">
        <v>122</v>
      </c>
      <c r="N53" s="87" t="s">
        <v>117</v>
      </c>
    </row>
    <row r="54" spans="2:14">
      <c r="B54" s="16"/>
      <c r="C54" s="5"/>
      <c r="G54" s="5" t="s">
        <v>9</v>
      </c>
      <c r="H54" s="7">
        <f>DASHBOARD!$D$58</f>
        <v>13.95</v>
      </c>
      <c r="I54" s="34">
        <v>1</v>
      </c>
      <c r="J54" s="11">
        <f>(4*J49)</f>
        <v>61.036229977857573</v>
      </c>
      <c r="K54" s="11"/>
      <c r="L54" s="6">
        <f t="shared" si="2"/>
        <v>851.45540819111307</v>
      </c>
      <c r="M54" s="1" t="s">
        <v>122</v>
      </c>
      <c r="N54" s="87" t="s">
        <v>118</v>
      </c>
    </row>
    <row r="55" spans="2:14">
      <c r="B55" s="16"/>
      <c r="C55" s="5"/>
      <c r="G55" s="5" t="s">
        <v>16</v>
      </c>
      <c r="H55" s="7">
        <f>DASHBOARD!$D$59</f>
        <v>0.23960000000000001</v>
      </c>
      <c r="I55" s="34">
        <v>1</v>
      </c>
      <c r="J55" s="12">
        <f>(4*J48)+100</f>
        <v>161.03622997785757</v>
      </c>
      <c r="K55" s="12"/>
      <c r="L55" s="6">
        <f t="shared" si="2"/>
        <v>38.584280702694677</v>
      </c>
      <c r="M55" s="1" t="s">
        <v>123</v>
      </c>
      <c r="N55" s="87" t="s">
        <v>119</v>
      </c>
    </row>
    <row r="56" spans="2:14">
      <c r="B56" s="16"/>
      <c r="C56" s="5"/>
      <c r="G56" s="5" t="s">
        <v>10</v>
      </c>
      <c r="H56" s="7">
        <f>DASHBOARD!$D$60</f>
        <v>1.7004999999999999</v>
      </c>
      <c r="I56" s="34">
        <v>1</v>
      </c>
      <c r="J56" s="12">
        <f>100</f>
        <v>100</v>
      </c>
      <c r="K56" s="12"/>
      <c r="L56" s="6">
        <f t="shared" si="2"/>
        <v>170.04999999999998</v>
      </c>
      <c r="M56" s="1" t="s">
        <v>124</v>
      </c>
      <c r="N56" s="87" t="s">
        <v>119</v>
      </c>
    </row>
    <row r="57" spans="2:14">
      <c r="B57" s="16"/>
      <c r="C57" s="5"/>
      <c r="G57" s="5" t="s">
        <v>144</v>
      </c>
      <c r="H57" s="7">
        <f>DASHBOARD!$D$61</f>
        <v>3.32</v>
      </c>
      <c r="I57" s="34">
        <v>1</v>
      </c>
      <c r="J57" s="5">
        <v>100</v>
      </c>
      <c r="K57" s="5"/>
      <c r="L57" s="6">
        <f t="shared" si="2"/>
        <v>332</v>
      </c>
      <c r="M57" s="1" t="s">
        <v>145</v>
      </c>
      <c r="N57" s="89" t="s">
        <v>147</v>
      </c>
    </row>
    <row r="58" spans="2:14">
      <c r="B58" s="16"/>
      <c r="C58" s="5"/>
      <c r="G58" s="5" t="s">
        <v>11</v>
      </c>
      <c r="H58" s="7">
        <f>DASHBOARD!$D$62</f>
        <v>0.72</v>
      </c>
      <c r="I58" s="34">
        <v>1</v>
      </c>
      <c r="J58" s="5">
        <f>100</f>
        <v>100</v>
      </c>
      <c r="K58" s="5"/>
      <c r="L58" s="6">
        <f t="shared" si="2"/>
        <v>72</v>
      </c>
      <c r="M58" s="1" t="s">
        <v>146</v>
      </c>
      <c r="N58" s="89" t="s">
        <v>148</v>
      </c>
    </row>
    <row r="59" spans="2:14">
      <c r="B59" s="16"/>
      <c r="C59" s="5"/>
      <c r="F59" s="119">
        <f>DASHBOARD!$D$110</f>
        <v>0</v>
      </c>
      <c r="G59" s="120" t="s">
        <v>17</v>
      </c>
      <c r="H59" s="121">
        <f>DASHBOARD!$D$36</f>
        <v>45.12</v>
      </c>
      <c r="I59" s="122">
        <v>8</v>
      </c>
      <c r="J59" s="120">
        <f>0.625*F59*(8/7)</f>
        <v>0</v>
      </c>
      <c r="K59" s="120"/>
      <c r="L59" s="123">
        <f>F59*H59*I59*J59</f>
        <v>0</v>
      </c>
      <c r="M59" s="1" t="s">
        <v>287</v>
      </c>
      <c r="N59" s="89"/>
    </row>
    <row r="60" spans="2:14">
      <c r="B60" s="16"/>
      <c r="C60" s="5"/>
      <c r="F60" s="124" t="s">
        <v>281</v>
      </c>
      <c r="G60" s="120" t="s">
        <v>14</v>
      </c>
      <c r="H60" s="121">
        <f>DASHBOARD!$D$35</f>
        <v>24.612000000000002</v>
      </c>
      <c r="I60" s="122">
        <v>8</v>
      </c>
      <c r="J60" s="120">
        <f>0.625*(8/7)</f>
        <v>0.71428571428571419</v>
      </c>
      <c r="K60" s="120"/>
      <c r="L60" s="123">
        <f>F59*H60*I60*J60</f>
        <v>0</v>
      </c>
      <c r="M60" s="1" t="s">
        <v>287</v>
      </c>
      <c r="N60" s="89"/>
    </row>
    <row r="61" spans="2:14">
      <c r="B61" s="16"/>
      <c r="C61" s="5"/>
      <c r="F61" s="124"/>
      <c r="G61" s="120" t="s">
        <v>291</v>
      </c>
      <c r="H61" s="121">
        <f>DASHBOARD!$D$59</f>
        <v>0.23960000000000001</v>
      </c>
      <c r="I61" s="122">
        <v>1</v>
      </c>
      <c r="J61" s="120">
        <v>100</v>
      </c>
      <c r="K61" s="120"/>
      <c r="L61" s="123">
        <f>F59*H61*I61*J61</f>
        <v>0</v>
      </c>
      <c r="N61" s="89"/>
    </row>
    <row r="62" spans="2:14">
      <c r="B62" s="16"/>
      <c r="C62" s="5"/>
      <c r="F62" s="119"/>
      <c r="G62" s="120" t="s">
        <v>284</v>
      </c>
      <c r="H62" s="121">
        <v>10</v>
      </c>
      <c r="I62" s="122">
        <v>1</v>
      </c>
      <c r="J62" s="120">
        <v>100</v>
      </c>
      <c r="K62" s="120"/>
      <c r="L62" s="123">
        <f>F59*H62*I62*J62</f>
        <v>0</v>
      </c>
      <c r="M62" s="1" t="s">
        <v>290</v>
      </c>
      <c r="N62" s="89"/>
    </row>
    <row r="63" spans="2:14">
      <c r="B63" s="16"/>
      <c r="C63" s="5"/>
      <c r="F63" s="119"/>
      <c r="G63" s="120" t="s">
        <v>283</v>
      </c>
      <c r="H63" s="121">
        <v>0.84</v>
      </c>
      <c r="I63" s="122">
        <v>1</v>
      </c>
      <c r="J63" s="120">
        <v>100</v>
      </c>
      <c r="K63" s="120"/>
      <c r="L63" s="123">
        <f>F59*H63*I63*J63</f>
        <v>0</v>
      </c>
      <c r="M63" s="1" t="s">
        <v>288</v>
      </c>
      <c r="N63" s="88" t="s">
        <v>289</v>
      </c>
    </row>
    <row r="64" spans="2:14">
      <c r="B64" s="17"/>
      <c r="F64" s="154">
        <f>DASHBOARD!$D$112</f>
        <v>0</v>
      </c>
      <c r="G64" s="155" t="s">
        <v>386</v>
      </c>
      <c r="H64" s="156">
        <f>DASHBOARD!$D$42</f>
        <v>30</v>
      </c>
      <c r="I64" s="157">
        <v>8</v>
      </c>
      <c r="J64" s="155">
        <f>((DASHBOARD!$D$113*100)/480)*(8/7)</f>
        <v>1.1904761904761905</v>
      </c>
      <c r="K64" s="155">
        <f>D27*F47*F64*I64*J64</f>
        <v>0</v>
      </c>
      <c r="L64" s="158">
        <f>F64*H64*I64*J64</f>
        <v>0</v>
      </c>
      <c r="M64" s="1" t="s">
        <v>460</v>
      </c>
      <c r="N64" s="88" t="s">
        <v>387</v>
      </c>
    </row>
    <row r="65" spans="2:14">
      <c r="B65" s="17"/>
      <c r="F65" s="159" t="s">
        <v>281</v>
      </c>
      <c r="G65" s="155" t="s">
        <v>382</v>
      </c>
      <c r="H65" s="156">
        <f>DASHBOARD!$D$59</f>
        <v>0.23960000000000001</v>
      </c>
      <c r="I65" s="157">
        <v>1</v>
      </c>
      <c r="J65" s="155">
        <v>100</v>
      </c>
      <c r="K65" s="155"/>
      <c r="L65" s="158">
        <f>F64*H65*I65*J65</f>
        <v>0</v>
      </c>
      <c r="M65" s="1" t="s">
        <v>388</v>
      </c>
      <c r="N65" s="88"/>
    </row>
    <row r="66" spans="2:14">
      <c r="B66" s="17"/>
      <c r="F66" s="159" t="s">
        <v>380</v>
      </c>
      <c r="G66" s="155" t="s">
        <v>383</v>
      </c>
      <c r="H66" s="156">
        <f>DASHBOARD!$D$60</f>
        <v>1.7004999999999999</v>
      </c>
      <c r="I66" s="157">
        <v>1</v>
      </c>
      <c r="J66" s="155">
        <v>100</v>
      </c>
      <c r="K66" s="155"/>
      <c r="L66" s="158">
        <f>F64*H66*I66*J66</f>
        <v>0</v>
      </c>
      <c r="M66" s="1" t="s">
        <v>388</v>
      </c>
      <c r="N66" s="88"/>
    </row>
    <row r="67" spans="2:14">
      <c r="B67" s="17"/>
      <c r="F67" s="154"/>
      <c r="G67" s="155" t="s">
        <v>41</v>
      </c>
      <c r="H67" s="156">
        <f>DASHBOARD!$D$57</f>
        <v>3.95</v>
      </c>
      <c r="I67" s="157">
        <v>1</v>
      </c>
      <c r="J67" s="155">
        <f>I64*J64/2</f>
        <v>4.7619047619047619</v>
      </c>
      <c r="K67" s="155"/>
      <c r="L67" s="158">
        <f>F64*H67*I67*J67</f>
        <v>0</v>
      </c>
      <c r="M67" s="1" t="s">
        <v>385</v>
      </c>
      <c r="N67" s="88"/>
    </row>
    <row r="68" spans="2:14">
      <c r="B68" s="17"/>
      <c r="F68" s="154"/>
      <c r="G68" s="155" t="s">
        <v>384</v>
      </c>
      <c r="H68" s="156">
        <f>DASHBOARD!$D$58</f>
        <v>13.95</v>
      </c>
      <c r="I68" s="157">
        <v>1</v>
      </c>
      <c r="J68" s="155">
        <f>I64*J64/2</f>
        <v>4.7619047619047619</v>
      </c>
      <c r="K68" s="155"/>
      <c r="L68" s="158">
        <f>F64*H68*I68*J68</f>
        <v>0</v>
      </c>
      <c r="M68" s="1" t="s">
        <v>385</v>
      </c>
      <c r="N68" s="88"/>
    </row>
    <row r="69" spans="2:14" ht="22.35" customHeight="1">
      <c r="B69" s="17"/>
      <c r="F69" s="154"/>
      <c r="G69" s="155" t="s">
        <v>389</v>
      </c>
      <c r="H69" s="156">
        <f>DASHBOARD!$D$71</f>
        <v>2.2799999999999998</v>
      </c>
      <c r="I69" s="157">
        <v>1</v>
      </c>
      <c r="J69" s="155">
        <v>100</v>
      </c>
      <c r="K69" s="155"/>
      <c r="L69" s="158">
        <f>F64*H69*I69*J69</f>
        <v>0</v>
      </c>
      <c r="M69" s="1" t="s">
        <v>390</v>
      </c>
      <c r="N69" s="88" t="s">
        <v>391</v>
      </c>
    </row>
    <row r="70" spans="2:14">
      <c r="B70" s="17"/>
      <c r="F70" s="154"/>
      <c r="G70" s="155" t="s">
        <v>392</v>
      </c>
      <c r="H70" s="156">
        <f>DASHBOARD!$D$72</f>
        <v>0.39</v>
      </c>
      <c r="I70" s="157">
        <v>1</v>
      </c>
      <c r="J70" s="155">
        <v>100</v>
      </c>
      <c r="K70" s="155"/>
      <c r="L70" s="158">
        <f>F64*H70*I70*J70</f>
        <v>0</v>
      </c>
      <c r="M70" s="1" t="s">
        <v>393</v>
      </c>
      <c r="N70" s="88" t="s">
        <v>394</v>
      </c>
    </row>
    <row r="71" spans="2:14">
      <c r="B71" s="16"/>
      <c r="C71" s="5"/>
      <c r="E71" s="21" t="s">
        <v>267</v>
      </c>
      <c r="F71" s="2">
        <f>DASHBOARD!$D$128*DASHBOARD!$D$123</f>
        <v>0</v>
      </c>
      <c r="G71" s="41" t="s">
        <v>229</v>
      </c>
      <c r="H71" s="3">
        <f>DASHBOARD!$D$65</f>
        <v>42.91</v>
      </c>
      <c r="I71" s="32">
        <f>I73/8</f>
        <v>1</v>
      </c>
      <c r="J71" s="71">
        <f>J73</f>
        <v>6.6876289230358212</v>
      </c>
      <c r="K71" s="11">
        <f>D23*F71*I71*J71</f>
        <v>0</v>
      </c>
      <c r="L71" s="6">
        <f>H71*I71*J71</f>
        <v>286.96615708746708</v>
      </c>
      <c r="N71" s="89"/>
    </row>
    <row r="72" spans="2:14">
      <c r="B72" s="16"/>
      <c r="C72" s="5"/>
      <c r="E72" s="1"/>
      <c r="F72" s="1" t="s">
        <v>468</v>
      </c>
      <c r="G72" s="42" t="s">
        <v>14</v>
      </c>
      <c r="H72" s="3">
        <f>DASHBOARD!$D$35</f>
        <v>24.612000000000002</v>
      </c>
      <c r="I72" s="32">
        <v>8</v>
      </c>
      <c r="J72" s="11">
        <f>J73</f>
        <v>6.6876289230358212</v>
      </c>
      <c r="K72" s="11">
        <f>D23*F71*I72*J72</f>
        <v>0</v>
      </c>
      <c r="L72" s="6">
        <f t="shared" si="2"/>
        <v>1316.7673844300612</v>
      </c>
      <c r="M72" s="72" t="s">
        <v>274</v>
      </c>
      <c r="N72" s="87" t="s">
        <v>111</v>
      </c>
    </row>
    <row r="73" spans="2:14" ht="31.5">
      <c r="B73" s="16"/>
      <c r="C73" s="5"/>
      <c r="F73" s="2" t="s">
        <v>468</v>
      </c>
      <c r="G73" s="42" t="s">
        <v>6</v>
      </c>
      <c r="H73" s="3">
        <f>DASHBOARD!$D$40</f>
        <v>24.276</v>
      </c>
      <c r="I73" s="32">
        <v>8</v>
      </c>
      <c r="J73" s="11">
        <f>((45*$C$11+3*$C$5))/($C$23*(C5/C4))*100/60*(8/7)</f>
        <v>6.6876289230358212</v>
      </c>
      <c r="K73" s="11">
        <f>D23*F71*I73*J73</f>
        <v>0</v>
      </c>
      <c r="L73" s="6">
        <f t="shared" si="2"/>
        <v>1298.7910378849408</v>
      </c>
      <c r="M73" s="1" t="s">
        <v>268</v>
      </c>
      <c r="N73" s="87" t="s">
        <v>112</v>
      </c>
    </row>
    <row r="74" spans="2:14">
      <c r="B74" s="16"/>
      <c r="C74" s="5"/>
      <c r="G74" s="42" t="s">
        <v>27</v>
      </c>
      <c r="H74" s="3">
        <f>DASHBOARD!$D$39</f>
        <v>30</v>
      </c>
      <c r="I74" s="32">
        <v>8</v>
      </c>
      <c r="J74" s="53">
        <v>0</v>
      </c>
      <c r="K74" s="11">
        <f>D23*F71*I74*J74</f>
        <v>0</v>
      </c>
      <c r="L74" s="6">
        <f t="shared" si="2"/>
        <v>0</v>
      </c>
      <c r="M74" s="1" t="s">
        <v>260</v>
      </c>
      <c r="N74" s="87" t="s">
        <v>115</v>
      </c>
    </row>
    <row r="75" spans="2:14">
      <c r="B75" s="16"/>
      <c r="C75" s="5"/>
      <c r="G75" s="42" t="s">
        <v>202</v>
      </c>
      <c r="H75" s="3">
        <f>DASHBOARD!$D$78</f>
        <v>0</v>
      </c>
      <c r="I75" s="32">
        <v>1</v>
      </c>
      <c r="J75" s="11">
        <v>100</v>
      </c>
      <c r="K75" s="11"/>
      <c r="L75" s="6">
        <f t="shared" si="2"/>
        <v>0</v>
      </c>
      <c r="N75" s="87"/>
    </row>
    <row r="76" spans="2:14">
      <c r="B76" s="16"/>
      <c r="C76" s="5"/>
      <c r="G76" s="5" t="s">
        <v>8</v>
      </c>
      <c r="H76" s="7">
        <f>DASHBOARD!$D$56</f>
        <v>0.16259999999999999</v>
      </c>
      <c r="I76" s="34">
        <v>1</v>
      </c>
      <c r="J76" s="11">
        <f>4*J72</f>
        <v>26.750515692143285</v>
      </c>
      <c r="K76" s="11"/>
      <c r="L76" s="6">
        <f t="shared" si="2"/>
        <v>4.3496338515424977</v>
      </c>
      <c r="M76" s="1" t="s">
        <v>121</v>
      </c>
      <c r="N76" s="87" t="s">
        <v>116</v>
      </c>
    </row>
    <row r="77" spans="2:14">
      <c r="B77" s="16"/>
      <c r="C77" s="5"/>
      <c r="G77" s="5" t="s">
        <v>41</v>
      </c>
      <c r="H77" s="7">
        <f>DASHBOARD!$D$57</f>
        <v>3.95</v>
      </c>
      <c r="I77" s="34">
        <v>1</v>
      </c>
      <c r="J77" s="11">
        <f>(4*J73)+(4*J74)</f>
        <v>26.750515692143285</v>
      </c>
      <c r="K77" s="11"/>
      <c r="L77" s="6">
        <f t="shared" si="2"/>
        <v>105.66453698396597</v>
      </c>
      <c r="M77" s="1" t="s">
        <v>122</v>
      </c>
      <c r="N77" s="87" t="s">
        <v>117</v>
      </c>
    </row>
    <row r="78" spans="2:14">
      <c r="B78" s="16"/>
      <c r="C78" s="5"/>
      <c r="G78" s="5" t="s">
        <v>9</v>
      </c>
      <c r="H78" s="7">
        <f>DASHBOARD!$D$58</f>
        <v>13.95</v>
      </c>
      <c r="I78" s="34">
        <v>1</v>
      </c>
      <c r="J78" s="11">
        <f>(4*J73)+(4*J74)</f>
        <v>26.750515692143285</v>
      </c>
      <c r="K78" s="11"/>
      <c r="L78" s="6">
        <f t="shared" si="2"/>
        <v>373.16969390539879</v>
      </c>
      <c r="M78" s="1" t="s">
        <v>122</v>
      </c>
      <c r="N78" s="87" t="s">
        <v>118</v>
      </c>
    </row>
    <row r="79" spans="2:14">
      <c r="B79" s="16"/>
      <c r="C79" s="5"/>
      <c r="G79" s="5" t="s">
        <v>16</v>
      </c>
      <c r="H79" s="7">
        <f>DASHBOARD!$D$59</f>
        <v>0.23960000000000001</v>
      </c>
      <c r="I79" s="34">
        <v>1</v>
      </c>
      <c r="J79" s="12">
        <f>(4*J72)+(4*J74)+100</f>
        <v>126.75051569214328</v>
      </c>
      <c r="K79" s="12"/>
      <c r="L79" s="6">
        <f t="shared" si="2"/>
        <v>30.369423559837532</v>
      </c>
      <c r="M79" s="1" t="s">
        <v>123</v>
      </c>
      <c r="N79" s="87" t="s">
        <v>119</v>
      </c>
    </row>
    <row r="80" spans="2:14">
      <c r="B80" s="16"/>
      <c r="C80" s="5"/>
      <c r="G80" s="5" t="s">
        <v>10</v>
      </c>
      <c r="H80" s="7">
        <f>DASHBOARD!$D$60</f>
        <v>1.7004999999999999</v>
      </c>
      <c r="I80" s="34">
        <v>1</v>
      </c>
      <c r="J80" s="12">
        <f>(4*J74)+100</f>
        <v>100</v>
      </c>
      <c r="K80" s="12"/>
      <c r="L80" s="6">
        <f t="shared" si="2"/>
        <v>170.04999999999998</v>
      </c>
      <c r="M80" s="1" t="s">
        <v>124</v>
      </c>
      <c r="N80" s="87" t="s">
        <v>119</v>
      </c>
    </row>
    <row r="81" spans="2:14">
      <c r="B81" s="16"/>
      <c r="C81" s="5"/>
      <c r="G81" s="5" t="s">
        <v>273</v>
      </c>
      <c r="H81" s="7">
        <f>DASHBOARD!$D$63</f>
        <v>1.8685</v>
      </c>
      <c r="I81" s="34">
        <v>1</v>
      </c>
      <c r="J81" s="5">
        <v>100</v>
      </c>
      <c r="K81" s="5"/>
      <c r="L81" s="6">
        <f t="shared" si="2"/>
        <v>186.85</v>
      </c>
      <c r="M81" s="1" t="s">
        <v>270</v>
      </c>
      <c r="N81" s="89" t="s">
        <v>271</v>
      </c>
    </row>
    <row r="82" spans="2:14">
      <c r="B82" s="16"/>
      <c r="C82" s="5"/>
      <c r="F82" s="119">
        <f>DASHBOARD!$D$110</f>
        <v>0</v>
      </c>
      <c r="G82" s="120" t="s">
        <v>6</v>
      </c>
      <c r="H82" s="121">
        <f>DASHBOARD!$D$40</f>
        <v>24.276</v>
      </c>
      <c r="I82" s="122">
        <v>8</v>
      </c>
      <c r="J82" s="120">
        <f>0.625*F82*(8/7)</f>
        <v>0</v>
      </c>
      <c r="K82" s="120"/>
      <c r="L82" s="123">
        <f>F82*H82*I82*J82</f>
        <v>0</v>
      </c>
      <c r="M82" s="1" t="s">
        <v>287</v>
      </c>
      <c r="N82" s="89"/>
    </row>
    <row r="83" spans="2:14">
      <c r="B83" s="16"/>
      <c r="C83" s="5"/>
      <c r="F83" s="124" t="s">
        <v>281</v>
      </c>
      <c r="G83" s="120" t="s">
        <v>14</v>
      </c>
      <c r="H83" s="121">
        <f>DASHBOARD!$D$35</f>
        <v>24.612000000000002</v>
      </c>
      <c r="I83" s="122">
        <v>8</v>
      </c>
      <c r="J83" s="120">
        <f>0.625*(8/7)</f>
        <v>0.71428571428571419</v>
      </c>
      <c r="K83" s="120"/>
      <c r="L83" s="123">
        <f>F82*H83*I83*J83</f>
        <v>0</v>
      </c>
      <c r="M83" s="1" t="s">
        <v>287</v>
      </c>
      <c r="N83" s="89"/>
    </row>
    <row r="84" spans="2:14">
      <c r="B84" s="16"/>
      <c r="C84" s="5"/>
      <c r="F84" s="124"/>
      <c r="G84" s="120" t="s">
        <v>291</v>
      </c>
      <c r="H84" s="121">
        <f>DASHBOARD!$D$59</f>
        <v>0.23960000000000001</v>
      </c>
      <c r="I84" s="122">
        <v>1</v>
      </c>
      <c r="J84" s="120">
        <v>100</v>
      </c>
      <c r="K84" s="120"/>
      <c r="L84" s="123">
        <f>F82*H84*I84*J84</f>
        <v>0</v>
      </c>
      <c r="N84" s="89"/>
    </row>
    <row r="85" spans="2:14">
      <c r="B85" s="16"/>
      <c r="C85" s="5"/>
      <c r="F85" s="119"/>
      <c r="G85" s="120" t="s">
        <v>284</v>
      </c>
      <c r="H85" s="121">
        <v>10</v>
      </c>
      <c r="I85" s="122">
        <v>1</v>
      </c>
      <c r="J85" s="120">
        <v>100</v>
      </c>
      <c r="K85" s="120"/>
      <c r="L85" s="123">
        <f>F82*H85*I85*J85</f>
        <v>0</v>
      </c>
      <c r="M85" s="1" t="s">
        <v>290</v>
      </c>
      <c r="N85" s="89"/>
    </row>
    <row r="86" spans="2:14">
      <c r="B86" s="16"/>
      <c r="C86" s="5"/>
      <c r="F86" s="119"/>
      <c r="G86" s="120" t="s">
        <v>283</v>
      </c>
      <c r="H86" s="121">
        <v>0.84</v>
      </c>
      <c r="I86" s="122">
        <v>1</v>
      </c>
      <c r="J86" s="120">
        <v>100</v>
      </c>
      <c r="K86" s="120"/>
      <c r="L86" s="123">
        <f>F82*H86*I86*J86</f>
        <v>0</v>
      </c>
      <c r="M86" s="1" t="s">
        <v>288</v>
      </c>
      <c r="N86" s="88" t="s">
        <v>289</v>
      </c>
    </row>
    <row r="87" spans="2:14">
      <c r="B87" s="17"/>
      <c r="F87" s="154">
        <f>DASHBOARD!$D$112</f>
        <v>0</v>
      </c>
      <c r="G87" s="155" t="s">
        <v>386</v>
      </c>
      <c r="H87" s="156">
        <f>DASHBOARD!$D$42</f>
        <v>30</v>
      </c>
      <c r="I87" s="157">
        <v>8</v>
      </c>
      <c r="J87" s="155">
        <f>((DASHBOARD!$D$113*100)/480)*(8/7)</f>
        <v>1.1904761904761905</v>
      </c>
      <c r="K87" s="155">
        <f>D29*F71*F87*I87*J87</f>
        <v>0</v>
      </c>
      <c r="L87" s="158">
        <f>F87*H87*I87*J87</f>
        <v>0</v>
      </c>
      <c r="M87" s="1" t="s">
        <v>460</v>
      </c>
      <c r="N87" s="88" t="s">
        <v>387</v>
      </c>
    </row>
    <row r="88" spans="2:14">
      <c r="B88" s="17"/>
      <c r="F88" s="159" t="s">
        <v>281</v>
      </c>
      <c r="G88" s="155" t="s">
        <v>382</v>
      </c>
      <c r="H88" s="156">
        <f>DASHBOARD!$D$59</f>
        <v>0.23960000000000001</v>
      </c>
      <c r="I88" s="157">
        <v>1</v>
      </c>
      <c r="J88" s="155">
        <v>100</v>
      </c>
      <c r="K88" s="155"/>
      <c r="L88" s="158">
        <f>F87*H88*I88*J88</f>
        <v>0</v>
      </c>
      <c r="M88" s="1" t="s">
        <v>388</v>
      </c>
      <c r="N88" s="88"/>
    </row>
    <row r="89" spans="2:14" ht="21" customHeight="1">
      <c r="B89" s="17"/>
      <c r="F89" s="159" t="s">
        <v>380</v>
      </c>
      <c r="G89" s="155" t="s">
        <v>383</v>
      </c>
      <c r="H89" s="156">
        <f>DASHBOARD!$D$60</f>
        <v>1.7004999999999999</v>
      </c>
      <c r="I89" s="157">
        <v>1</v>
      </c>
      <c r="J89" s="155">
        <v>100</v>
      </c>
      <c r="K89" s="155"/>
      <c r="L89" s="158">
        <f>F87*H89*I89*J89</f>
        <v>0</v>
      </c>
      <c r="M89" s="1" t="s">
        <v>388</v>
      </c>
      <c r="N89" s="88"/>
    </row>
    <row r="90" spans="2:14" ht="20.100000000000001" customHeight="1">
      <c r="B90" s="17"/>
      <c r="F90" s="154"/>
      <c r="G90" s="155" t="s">
        <v>41</v>
      </c>
      <c r="H90" s="156">
        <f>DASHBOARD!$D$57</f>
        <v>3.95</v>
      </c>
      <c r="I90" s="157">
        <v>1</v>
      </c>
      <c r="J90" s="155">
        <f>I87*J87/2</f>
        <v>4.7619047619047619</v>
      </c>
      <c r="K90" s="155"/>
      <c r="L90" s="158">
        <f>F87*H90*I90*J90</f>
        <v>0</v>
      </c>
      <c r="M90" s="1" t="s">
        <v>385</v>
      </c>
      <c r="N90" s="88"/>
    </row>
    <row r="91" spans="2:14">
      <c r="B91" s="17"/>
      <c r="F91" s="154"/>
      <c r="G91" s="155" t="s">
        <v>384</v>
      </c>
      <c r="H91" s="156">
        <f>DASHBOARD!$D$58</f>
        <v>13.95</v>
      </c>
      <c r="I91" s="157">
        <v>1</v>
      </c>
      <c r="J91" s="155">
        <f>I87*J87/2</f>
        <v>4.7619047619047619</v>
      </c>
      <c r="K91" s="155"/>
      <c r="L91" s="158">
        <f>F87*H91*I91*J91</f>
        <v>0</v>
      </c>
      <c r="M91" s="1" t="s">
        <v>385</v>
      </c>
      <c r="N91" s="88"/>
    </row>
    <row r="92" spans="2:14">
      <c r="B92" s="17"/>
      <c r="F92" s="154"/>
      <c r="G92" s="155" t="s">
        <v>389</v>
      </c>
      <c r="H92" s="156">
        <f>DASHBOARD!$D$71</f>
        <v>2.2799999999999998</v>
      </c>
      <c r="I92" s="157">
        <v>1</v>
      </c>
      <c r="J92" s="155">
        <v>100</v>
      </c>
      <c r="K92" s="155"/>
      <c r="L92" s="158">
        <f>F87*H92*I92*J92</f>
        <v>0</v>
      </c>
      <c r="M92" s="1" t="s">
        <v>390</v>
      </c>
      <c r="N92" s="88" t="s">
        <v>391</v>
      </c>
    </row>
    <row r="93" spans="2:14">
      <c r="B93" s="17"/>
      <c r="F93" s="154"/>
      <c r="G93" s="155" t="s">
        <v>392</v>
      </c>
      <c r="H93" s="156">
        <f>DASHBOARD!$D$72</f>
        <v>0.39</v>
      </c>
      <c r="I93" s="157">
        <v>1</v>
      </c>
      <c r="J93" s="155">
        <v>100</v>
      </c>
      <c r="K93" s="155"/>
      <c r="L93" s="158">
        <f>F87*H93*I93*J93</f>
        <v>0</v>
      </c>
      <c r="M93" s="1" t="s">
        <v>393</v>
      </c>
      <c r="N93" s="88" t="s">
        <v>394</v>
      </c>
    </row>
    <row r="94" spans="2:14">
      <c r="B94" s="16"/>
      <c r="C94" s="5"/>
      <c r="F94" s="2">
        <f>DASHBOARD!$D$128*(1-DASHBOARD!$D$123)</f>
        <v>0</v>
      </c>
      <c r="G94" s="41" t="s">
        <v>229</v>
      </c>
      <c r="H94" s="3">
        <f>DASHBOARD!$D$65</f>
        <v>42.91</v>
      </c>
      <c r="I94" s="32">
        <f>I96/8</f>
        <v>1</v>
      </c>
      <c r="J94" s="71">
        <f>J96</f>
        <v>12.401914637321536</v>
      </c>
      <c r="K94" s="11">
        <f>D23*F94*I94*J94</f>
        <v>0</v>
      </c>
      <c r="L94" s="6">
        <f>H94*I94*J94</f>
        <v>532.16615708746701</v>
      </c>
      <c r="N94" s="89"/>
    </row>
    <row r="95" spans="2:14" ht="31.5">
      <c r="B95" s="16"/>
      <c r="C95" s="5"/>
      <c r="F95" s="1" t="s">
        <v>468</v>
      </c>
      <c r="G95" s="42" t="s">
        <v>14</v>
      </c>
      <c r="H95" s="3">
        <f>DASHBOARD!$D$35</f>
        <v>24.612000000000002</v>
      </c>
      <c r="I95" s="32">
        <v>8</v>
      </c>
      <c r="J95" s="11">
        <f>J96</f>
        <v>12.401914637321536</v>
      </c>
      <c r="K95" s="11">
        <f>D23*F94*I95*J95</f>
        <v>0</v>
      </c>
      <c r="L95" s="6">
        <f t="shared" si="2"/>
        <v>2441.887384430061</v>
      </c>
      <c r="M95" s="72" t="s">
        <v>269</v>
      </c>
      <c r="N95" s="87" t="s">
        <v>111</v>
      </c>
    </row>
    <row r="96" spans="2:14" ht="31.5">
      <c r="B96" s="16"/>
      <c r="C96" s="5"/>
      <c r="F96" s="2" t="s">
        <v>468</v>
      </c>
      <c r="G96" s="42" t="s">
        <v>6</v>
      </c>
      <c r="H96" s="3">
        <f>DASHBOARD!$D$40</f>
        <v>24.276</v>
      </c>
      <c r="I96" s="32">
        <v>8</v>
      </c>
      <c r="J96" s="11">
        <f>((45*$C$11+6*$C$5))/($C$23*(C5/C4))*100/60*(8/7)</f>
        <v>12.401914637321536</v>
      </c>
      <c r="K96" s="11">
        <f>D23*F94*I96*J96</f>
        <v>0</v>
      </c>
      <c r="L96" s="6">
        <f t="shared" si="2"/>
        <v>2408.5510378849408</v>
      </c>
      <c r="M96" s="1" t="s">
        <v>268</v>
      </c>
      <c r="N96" s="87" t="s">
        <v>112</v>
      </c>
    </row>
    <row r="97" spans="2:14">
      <c r="B97" s="16"/>
      <c r="C97" s="5"/>
      <c r="G97" s="42" t="s">
        <v>27</v>
      </c>
      <c r="H97" s="3">
        <f>DASHBOARD!$D$78</f>
        <v>0</v>
      </c>
      <c r="I97" s="32">
        <v>8</v>
      </c>
      <c r="J97" s="53">
        <v>0</v>
      </c>
      <c r="K97" s="11">
        <f>D23*F94*I97*J97</f>
        <v>0</v>
      </c>
      <c r="L97" s="6">
        <f t="shared" si="2"/>
        <v>0</v>
      </c>
      <c r="M97" s="1" t="s">
        <v>260</v>
      </c>
      <c r="N97" s="87" t="s">
        <v>115</v>
      </c>
    </row>
    <row r="98" spans="2:14">
      <c r="B98" s="16"/>
      <c r="C98" s="5"/>
      <c r="G98" s="42" t="s">
        <v>202</v>
      </c>
      <c r="H98" s="3">
        <f>DASHBOARD!$D$79</f>
        <v>0</v>
      </c>
      <c r="I98" s="32">
        <v>1</v>
      </c>
      <c r="J98" s="11">
        <v>100</v>
      </c>
      <c r="K98" s="11"/>
      <c r="L98" s="6">
        <f t="shared" si="2"/>
        <v>0</v>
      </c>
      <c r="N98" s="87"/>
    </row>
    <row r="99" spans="2:14">
      <c r="B99" s="16"/>
      <c r="C99" s="5"/>
      <c r="G99" s="5" t="s">
        <v>8</v>
      </c>
      <c r="H99" s="7">
        <f>DASHBOARD!$D$56</f>
        <v>0.16259999999999999</v>
      </c>
      <c r="I99" s="34">
        <v>1</v>
      </c>
      <c r="J99" s="11">
        <f>4*J95</f>
        <v>49.607658549286143</v>
      </c>
      <c r="K99" s="11"/>
      <c r="L99" s="6">
        <f t="shared" si="2"/>
        <v>8.0662052801139268</v>
      </c>
      <c r="M99" s="1" t="s">
        <v>121</v>
      </c>
      <c r="N99" s="87" t="s">
        <v>116</v>
      </c>
    </row>
    <row r="100" spans="2:14">
      <c r="B100" s="16"/>
      <c r="C100" s="5"/>
      <c r="G100" s="5" t="s">
        <v>41</v>
      </c>
      <c r="H100" s="7">
        <f>DASHBOARD!$D$57</f>
        <v>3.95</v>
      </c>
      <c r="I100" s="34">
        <v>1</v>
      </c>
      <c r="J100" s="11">
        <f>(4*J96)+(4*J97)</f>
        <v>49.607658549286143</v>
      </c>
      <c r="K100" s="11"/>
      <c r="L100" s="6">
        <f t="shared" si="2"/>
        <v>195.95025126968028</v>
      </c>
      <c r="M100" s="1" t="s">
        <v>122</v>
      </c>
      <c r="N100" s="87" t="s">
        <v>117</v>
      </c>
    </row>
    <row r="101" spans="2:14">
      <c r="B101" s="16"/>
      <c r="C101" s="5"/>
      <c r="G101" s="5" t="s">
        <v>9</v>
      </c>
      <c r="H101" s="7">
        <f>DASHBOARD!$D$58</f>
        <v>13.95</v>
      </c>
      <c r="I101" s="34">
        <v>1</v>
      </c>
      <c r="J101" s="11">
        <f>(4*J96)+(4*J97)</f>
        <v>49.607658549286143</v>
      </c>
      <c r="K101" s="11"/>
      <c r="L101" s="6">
        <f t="shared" si="2"/>
        <v>692.02683676254162</v>
      </c>
      <c r="M101" s="1" t="s">
        <v>122</v>
      </c>
      <c r="N101" s="87" t="s">
        <v>118</v>
      </c>
    </row>
    <row r="102" spans="2:14">
      <c r="B102" s="16"/>
      <c r="C102" s="5"/>
      <c r="G102" s="5" t="s">
        <v>16</v>
      </c>
      <c r="H102" s="7">
        <f>DASHBOARD!$D$59</f>
        <v>0.23960000000000001</v>
      </c>
      <c r="I102" s="34">
        <v>1</v>
      </c>
      <c r="J102" s="12">
        <f>(4*J95)+(4*J97)+100</f>
        <v>149.60765854928616</v>
      </c>
      <c r="K102" s="12"/>
      <c r="L102" s="6">
        <f t="shared" si="2"/>
        <v>35.845994988408961</v>
      </c>
      <c r="M102" s="1" t="s">
        <v>123</v>
      </c>
      <c r="N102" s="87" t="s">
        <v>119</v>
      </c>
    </row>
    <row r="103" spans="2:14">
      <c r="B103" s="16"/>
      <c r="C103" s="5"/>
      <c r="G103" s="5" t="s">
        <v>10</v>
      </c>
      <c r="H103" s="7">
        <f>DASHBOARD!$D$60</f>
        <v>1.7004999999999999</v>
      </c>
      <c r="I103" s="34">
        <v>1</v>
      </c>
      <c r="J103" s="12">
        <f>(4*J97)+100</f>
        <v>100</v>
      </c>
      <c r="K103" s="12"/>
      <c r="L103" s="6">
        <f t="shared" si="2"/>
        <v>170.04999999999998</v>
      </c>
      <c r="M103" s="1" t="s">
        <v>124</v>
      </c>
      <c r="N103" s="87" t="s">
        <v>119</v>
      </c>
    </row>
    <row r="104" spans="2:14">
      <c r="B104" s="16"/>
      <c r="C104" s="5"/>
      <c r="G104" s="5" t="s">
        <v>273</v>
      </c>
      <c r="H104" s="7">
        <f>DASHBOARD!$D$63</f>
        <v>1.8685</v>
      </c>
      <c r="I104" s="34">
        <v>1</v>
      </c>
      <c r="J104" s="5">
        <v>100</v>
      </c>
      <c r="K104" s="5"/>
      <c r="L104" s="6">
        <f t="shared" si="2"/>
        <v>186.85</v>
      </c>
      <c r="M104" s="1" t="s">
        <v>270</v>
      </c>
      <c r="N104" s="88" t="s">
        <v>271</v>
      </c>
    </row>
    <row r="105" spans="2:14">
      <c r="B105" s="16"/>
      <c r="C105" s="5"/>
      <c r="F105" s="119">
        <f>DASHBOARD!$D$110</f>
        <v>0</v>
      </c>
      <c r="G105" s="120" t="s">
        <v>6</v>
      </c>
      <c r="H105" s="121">
        <f>DASHBOARD!$D$40</f>
        <v>24.276</v>
      </c>
      <c r="I105" s="122">
        <v>8</v>
      </c>
      <c r="J105" s="120">
        <f>0.625*F105*(8/7)</f>
        <v>0</v>
      </c>
      <c r="K105" s="120"/>
      <c r="L105" s="123">
        <f>F105*H105*I105*J105</f>
        <v>0</v>
      </c>
      <c r="M105" s="1" t="s">
        <v>287</v>
      </c>
      <c r="N105" s="89"/>
    </row>
    <row r="106" spans="2:14">
      <c r="B106" s="16"/>
      <c r="C106" s="5"/>
      <c r="F106" s="124" t="s">
        <v>281</v>
      </c>
      <c r="G106" s="120" t="s">
        <v>14</v>
      </c>
      <c r="H106" s="121">
        <f>DASHBOARD!$D$35</f>
        <v>24.612000000000002</v>
      </c>
      <c r="I106" s="122">
        <v>8</v>
      </c>
      <c r="J106" s="120">
        <f>0.625*(8/7)</f>
        <v>0.71428571428571419</v>
      </c>
      <c r="K106" s="120"/>
      <c r="L106" s="123">
        <f>F105*H106*I106*J106</f>
        <v>0</v>
      </c>
      <c r="M106" s="1" t="s">
        <v>287</v>
      </c>
      <c r="N106" s="89"/>
    </row>
    <row r="107" spans="2:14">
      <c r="B107" s="16"/>
      <c r="C107" s="5"/>
      <c r="F107" s="124"/>
      <c r="G107" s="120" t="s">
        <v>291</v>
      </c>
      <c r="H107" s="121">
        <f>DASHBOARD!$D$59</f>
        <v>0.23960000000000001</v>
      </c>
      <c r="I107" s="122">
        <v>1</v>
      </c>
      <c r="J107" s="120">
        <v>100</v>
      </c>
      <c r="K107" s="120"/>
      <c r="L107" s="123">
        <f>F105*H107*I107*J107</f>
        <v>0</v>
      </c>
      <c r="N107" s="89"/>
    </row>
    <row r="108" spans="2:14">
      <c r="B108" s="16"/>
      <c r="C108" s="5"/>
      <c r="F108" s="119"/>
      <c r="G108" s="120" t="s">
        <v>284</v>
      </c>
      <c r="H108" s="121">
        <v>10</v>
      </c>
      <c r="I108" s="122">
        <v>1</v>
      </c>
      <c r="J108" s="120">
        <v>100</v>
      </c>
      <c r="K108" s="120"/>
      <c r="L108" s="123">
        <f>F105*H108*I108*J108</f>
        <v>0</v>
      </c>
      <c r="M108" s="1" t="s">
        <v>290</v>
      </c>
      <c r="N108" s="89"/>
    </row>
    <row r="109" spans="2:14">
      <c r="B109" s="16"/>
      <c r="C109" s="5"/>
      <c r="F109" s="119"/>
      <c r="G109" s="120" t="s">
        <v>283</v>
      </c>
      <c r="H109" s="121">
        <v>0.84</v>
      </c>
      <c r="I109" s="122">
        <v>1</v>
      </c>
      <c r="J109" s="120">
        <v>100</v>
      </c>
      <c r="K109" s="120"/>
      <c r="L109" s="123">
        <f>F105*H109*I109*J109</f>
        <v>0</v>
      </c>
      <c r="M109" s="1" t="s">
        <v>288</v>
      </c>
      <c r="N109" s="88" t="s">
        <v>289</v>
      </c>
    </row>
    <row r="110" spans="2:14" ht="24.95" customHeight="1">
      <c r="B110" s="17"/>
      <c r="F110" s="154">
        <f>DASHBOARD!$D$112</f>
        <v>0</v>
      </c>
      <c r="G110" s="155" t="s">
        <v>386</v>
      </c>
      <c r="H110" s="156">
        <f>DASHBOARD!$D$42</f>
        <v>30</v>
      </c>
      <c r="I110" s="157">
        <v>8</v>
      </c>
      <c r="J110" s="155">
        <f>((DASHBOARD!$D$113*100)/480)*(8/7)</f>
        <v>1.1904761904761905</v>
      </c>
      <c r="K110" s="155">
        <f>D31*F94*F110*I110*J110</f>
        <v>0</v>
      </c>
      <c r="L110" s="158">
        <f>F110*H110*I110*J110</f>
        <v>0</v>
      </c>
      <c r="M110" s="1" t="s">
        <v>460</v>
      </c>
      <c r="N110" s="88" t="s">
        <v>387</v>
      </c>
    </row>
    <row r="111" spans="2:14" ht="37.35" customHeight="1">
      <c r="B111" s="17"/>
      <c r="F111" s="159" t="s">
        <v>281</v>
      </c>
      <c r="G111" s="155" t="s">
        <v>382</v>
      </c>
      <c r="H111" s="156">
        <f>DASHBOARD!$D$59</f>
        <v>0.23960000000000001</v>
      </c>
      <c r="I111" s="157">
        <v>1</v>
      </c>
      <c r="J111" s="155">
        <v>100</v>
      </c>
      <c r="K111" s="155"/>
      <c r="L111" s="158">
        <f>F110*H111*I111*J111</f>
        <v>0</v>
      </c>
      <c r="M111" s="1" t="s">
        <v>388</v>
      </c>
      <c r="N111" s="88"/>
    </row>
    <row r="112" spans="2:14">
      <c r="B112" s="17"/>
      <c r="F112" s="159" t="s">
        <v>380</v>
      </c>
      <c r="G112" s="155" t="s">
        <v>383</v>
      </c>
      <c r="H112" s="156">
        <f>DASHBOARD!$D$60</f>
        <v>1.7004999999999999</v>
      </c>
      <c r="I112" s="157">
        <v>1</v>
      </c>
      <c r="J112" s="155">
        <v>100</v>
      </c>
      <c r="K112" s="155"/>
      <c r="L112" s="158">
        <f>F110*H112*I112*J112</f>
        <v>0</v>
      </c>
      <c r="M112" s="1" t="s">
        <v>388</v>
      </c>
      <c r="N112" s="88"/>
    </row>
    <row r="113" spans="2:14">
      <c r="B113" s="17"/>
      <c r="F113" s="154"/>
      <c r="G113" s="155" t="s">
        <v>41</v>
      </c>
      <c r="H113" s="156">
        <f>DASHBOARD!$D$57</f>
        <v>3.95</v>
      </c>
      <c r="I113" s="157">
        <v>1</v>
      </c>
      <c r="J113" s="155">
        <f>I110*J110/2</f>
        <v>4.7619047619047619</v>
      </c>
      <c r="K113" s="155"/>
      <c r="L113" s="158">
        <f>F110*H113*I113*J113</f>
        <v>0</v>
      </c>
      <c r="M113" s="1" t="s">
        <v>385</v>
      </c>
      <c r="N113" s="88"/>
    </row>
    <row r="114" spans="2:14">
      <c r="B114" s="17"/>
      <c r="F114" s="154"/>
      <c r="G114" s="155" t="s">
        <v>384</v>
      </c>
      <c r="H114" s="156">
        <f>DASHBOARD!$D$58</f>
        <v>13.95</v>
      </c>
      <c r="I114" s="157">
        <v>1</v>
      </c>
      <c r="J114" s="155">
        <f>I110*J110/2</f>
        <v>4.7619047619047619</v>
      </c>
      <c r="K114" s="155"/>
      <c r="L114" s="158">
        <f>F110*H114*I114*J114</f>
        <v>0</v>
      </c>
      <c r="M114" s="1" t="s">
        <v>385</v>
      </c>
      <c r="N114" s="88"/>
    </row>
    <row r="115" spans="2:14">
      <c r="B115" s="17"/>
      <c r="F115" s="154"/>
      <c r="G115" s="155" t="s">
        <v>389</v>
      </c>
      <c r="H115" s="156">
        <f>DASHBOARD!$D$71</f>
        <v>2.2799999999999998</v>
      </c>
      <c r="I115" s="157">
        <v>1</v>
      </c>
      <c r="J115" s="155">
        <v>100</v>
      </c>
      <c r="K115" s="155"/>
      <c r="L115" s="158">
        <f>F110*H115*I115*J115</f>
        <v>0</v>
      </c>
      <c r="M115" s="1" t="s">
        <v>390</v>
      </c>
      <c r="N115" s="88" t="s">
        <v>391</v>
      </c>
    </row>
    <row r="116" spans="2:14">
      <c r="B116" s="17"/>
      <c r="F116" s="154"/>
      <c r="G116" s="155" t="s">
        <v>392</v>
      </c>
      <c r="H116" s="156">
        <f>DASHBOARD!$D$72</f>
        <v>0.39</v>
      </c>
      <c r="I116" s="157">
        <v>1</v>
      </c>
      <c r="J116" s="155">
        <v>100</v>
      </c>
      <c r="K116" s="155"/>
      <c r="L116" s="158">
        <f>F110*H116*I116*J116</f>
        <v>0</v>
      </c>
      <c r="M116" s="1" t="s">
        <v>393</v>
      </c>
      <c r="N116" s="88" t="s">
        <v>394</v>
      </c>
    </row>
    <row r="117" spans="2:14" ht="78.75">
      <c r="B117" s="17"/>
      <c r="C117" s="26"/>
      <c r="D117" s="115">
        <f>(1-(C5/C4))*0.3*DASHBOARD!$D$139</f>
        <v>2.9324736225597847E-2</v>
      </c>
      <c r="E117" s="21" t="s">
        <v>257</v>
      </c>
      <c r="F117" s="2">
        <f>DASHBOARD!$D$123</f>
        <v>0</v>
      </c>
      <c r="G117" s="41" t="s">
        <v>14</v>
      </c>
      <c r="H117" s="7">
        <f>DASHBOARD!$D$35</f>
        <v>24.612000000000002</v>
      </c>
      <c r="I117" s="34">
        <v>8</v>
      </c>
      <c r="J117" s="5">
        <f>J143/2</f>
        <v>1.1428571428571428</v>
      </c>
      <c r="K117" s="11">
        <f>D117*F117*I117*J117</f>
        <v>0</v>
      </c>
      <c r="L117" s="6">
        <f t="shared" si="1"/>
        <v>225.024</v>
      </c>
      <c r="M117" s="1" t="s">
        <v>164</v>
      </c>
      <c r="N117" s="83" t="s">
        <v>111</v>
      </c>
    </row>
    <row r="118" spans="2:14">
      <c r="B118" s="17"/>
      <c r="G118" s="41" t="s">
        <v>17</v>
      </c>
      <c r="H118" s="7">
        <f>DASHBOARD!$D$36</f>
        <v>45.12</v>
      </c>
      <c r="I118" s="34">
        <v>8</v>
      </c>
      <c r="J118" s="5">
        <f>2*(8/7)</f>
        <v>2.2857142857142856</v>
      </c>
      <c r="K118" s="11">
        <f>D117*F117*I118*J118</f>
        <v>0</v>
      </c>
      <c r="L118" s="6">
        <f t="shared" si="1"/>
        <v>825.05142857142846</v>
      </c>
      <c r="N118" s="87" t="s">
        <v>112</v>
      </c>
    </row>
    <row r="119" spans="2:14">
      <c r="B119" s="17"/>
      <c r="G119" s="41" t="s">
        <v>12</v>
      </c>
      <c r="H119" s="7">
        <f>DASHBOARD!$D$37</f>
        <v>19.8</v>
      </c>
      <c r="I119" s="34">
        <v>8</v>
      </c>
      <c r="J119" s="5">
        <f>2*(8/7)</f>
        <v>2.2857142857142856</v>
      </c>
      <c r="K119" s="11">
        <f>D117*F117*I119*J119</f>
        <v>0</v>
      </c>
      <c r="L119" s="6">
        <f t="shared" ref="L119:L130" si="3">H119*I119*J119</f>
        <v>362.05714285714288</v>
      </c>
      <c r="N119" s="87" t="s">
        <v>113</v>
      </c>
    </row>
    <row r="120" spans="2:14">
      <c r="B120" s="17"/>
      <c r="G120" s="41" t="s">
        <v>13</v>
      </c>
      <c r="H120" s="7">
        <f>DASHBOARD!$D$38</f>
        <v>39.6</v>
      </c>
      <c r="I120" s="34">
        <v>8</v>
      </c>
      <c r="J120" s="5">
        <f>0.18*(8/7)</f>
        <v>0.20571428571428568</v>
      </c>
      <c r="K120" s="71">
        <f>D117*F117*I120*J120</f>
        <v>0</v>
      </c>
      <c r="L120" s="6">
        <f t="shared" si="3"/>
        <v>65.170285714285711</v>
      </c>
      <c r="N120" s="87" t="s">
        <v>114</v>
      </c>
    </row>
    <row r="121" spans="2:14">
      <c r="B121" s="17"/>
      <c r="G121" s="41" t="s">
        <v>449</v>
      </c>
      <c r="H121" s="7">
        <f>DASHBOARD!$D$46</f>
        <v>54.804000000000002</v>
      </c>
      <c r="I121" s="34">
        <v>8</v>
      </c>
      <c r="J121" s="5">
        <f>0.19*(8/7)</f>
        <v>0.21714285714285714</v>
      </c>
      <c r="K121" s="249">
        <f>D117*F117*I121*J121</f>
        <v>0</v>
      </c>
      <c r="L121" s="6">
        <f t="shared" si="3"/>
        <v>95.202377142857145</v>
      </c>
      <c r="N121" s="87" t="s">
        <v>115</v>
      </c>
    </row>
    <row r="122" spans="2:14">
      <c r="B122" s="17"/>
      <c r="G122" s="41" t="s">
        <v>325</v>
      </c>
      <c r="H122" s="7">
        <f>DASHBOARD!$D$43</f>
        <v>21.599999999999998</v>
      </c>
      <c r="I122" s="34">
        <v>8</v>
      </c>
      <c r="J122" s="5">
        <f>0.75*(8/7)</f>
        <v>0.8571428571428571</v>
      </c>
      <c r="K122" s="249">
        <f>D118*F118*I122*J122</f>
        <v>0</v>
      </c>
      <c r="L122" s="6">
        <f t="shared" si="3"/>
        <v>148.1142857142857</v>
      </c>
      <c r="N122" s="87"/>
    </row>
    <row r="123" spans="2:14">
      <c r="B123" s="17"/>
      <c r="G123" s="5" t="s">
        <v>8</v>
      </c>
      <c r="H123" s="7">
        <f>DASHBOARD!$D$56</f>
        <v>0.16259999999999999</v>
      </c>
      <c r="I123" s="34">
        <v>1</v>
      </c>
      <c r="J123" s="5">
        <v>8</v>
      </c>
      <c r="K123" s="5"/>
      <c r="L123" s="6">
        <f t="shared" si="3"/>
        <v>1.3008</v>
      </c>
      <c r="M123" s="1" t="s">
        <v>121</v>
      </c>
      <c r="N123" s="87" t="s">
        <v>116</v>
      </c>
    </row>
    <row r="124" spans="2:14">
      <c r="B124" s="17"/>
      <c r="G124" s="5" t="s">
        <v>41</v>
      </c>
      <c r="H124" s="7">
        <f>DASHBOARD!$D$57</f>
        <v>3.95</v>
      </c>
      <c r="I124" s="34">
        <v>1</v>
      </c>
      <c r="J124" s="5">
        <v>8</v>
      </c>
      <c r="K124" s="5"/>
      <c r="L124" s="6">
        <f t="shared" si="3"/>
        <v>31.6</v>
      </c>
      <c r="M124" s="1" t="s">
        <v>122</v>
      </c>
      <c r="N124" s="87" t="s">
        <v>117</v>
      </c>
    </row>
    <row r="125" spans="2:14">
      <c r="B125" s="17"/>
      <c r="G125" s="5" t="s">
        <v>9</v>
      </c>
      <c r="H125" s="7">
        <f>DASHBOARD!$D$58</f>
        <v>13.95</v>
      </c>
      <c r="I125" s="34">
        <v>1</v>
      </c>
      <c r="J125" s="5">
        <v>11</v>
      </c>
      <c r="K125" s="5"/>
      <c r="L125" s="6">
        <f t="shared" si="3"/>
        <v>153.44999999999999</v>
      </c>
      <c r="M125" s="1" t="s">
        <v>122</v>
      </c>
      <c r="N125" s="87" t="s">
        <v>118</v>
      </c>
    </row>
    <row r="126" spans="2:14">
      <c r="B126" s="17"/>
      <c r="G126" s="5" t="s">
        <v>16</v>
      </c>
      <c r="H126" s="7">
        <f>DASHBOARD!$D$59</f>
        <v>0.23960000000000001</v>
      </c>
      <c r="I126" s="34">
        <v>1</v>
      </c>
      <c r="J126" s="5">
        <v>208</v>
      </c>
      <c r="K126" s="5"/>
      <c r="L126" s="6">
        <f t="shared" si="3"/>
        <v>49.836800000000004</v>
      </c>
      <c r="M126" s="1" t="s">
        <v>123</v>
      </c>
      <c r="N126" s="87" t="s">
        <v>119</v>
      </c>
    </row>
    <row r="127" spans="2:14">
      <c r="B127" s="17"/>
      <c r="G127" s="5" t="s">
        <v>10</v>
      </c>
      <c r="H127" s="7">
        <f>DASHBOARD!$D$60</f>
        <v>1.7004999999999999</v>
      </c>
      <c r="I127" s="34">
        <v>1</v>
      </c>
      <c r="J127" s="5">
        <v>200</v>
      </c>
      <c r="K127" s="5"/>
      <c r="L127" s="6">
        <f t="shared" si="3"/>
        <v>340.09999999999997</v>
      </c>
      <c r="M127" s="1" t="s">
        <v>124</v>
      </c>
      <c r="N127" s="87" t="s">
        <v>119</v>
      </c>
    </row>
    <row r="128" spans="2:14">
      <c r="B128" s="17"/>
      <c r="G128" s="5" t="s">
        <v>144</v>
      </c>
      <c r="H128" s="7">
        <f>DASHBOARD!$D$61</f>
        <v>3.32</v>
      </c>
      <c r="I128" s="34">
        <v>1</v>
      </c>
      <c r="J128" s="5">
        <v>100</v>
      </c>
      <c r="K128" s="5"/>
      <c r="L128" s="6">
        <f t="shared" si="3"/>
        <v>332</v>
      </c>
      <c r="M128" s="1" t="s">
        <v>145</v>
      </c>
      <c r="N128" s="89" t="s">
        <v>147</v>
      </c>
    </row>
    <row r="129" spans="2:14">
      <c r="B129" s="17"/>
      <c r="G129" s="5" t="s">
        <v>11</v>
      </c>
      <c r="H129" s="7">
        <f>DASHBOARD!$D$62</f>
        <v>0.72</v>
      </c>
      <c r="I129" s="34">
        <v>1</v>
      </c>
      <c r="J129" s="5">
        <f>100</f>
        <v>100</v>
      </c>
      <c r="K129" s="5"/>
      <c r="L129" s="6">
        <f t="shared" si="3"/>
        <v>72</v>
      </c>
      <c r="M129" s="1" t="s">
        <v>146</v>
      </c>
      <c r="N129" s="89" t="s">
        <v>148</v>
      </c>
    </row>
    <row r="130" spans="2:14">
      <c r="B130" s="17"/>
      <c r="G130" s="42" t="s">
        <v>202</v>
      </c>
      <c r="H130" s="3">
        <v>0</v>
      </c>
      <c r="I130" s="32">
        <v>1</v>
      </c>
      <c r="J130" s="11">
        <v>100</v>
      </c>
      <c r="K130" s="5"/>
      <c r="L130" s="6">
        <f t="shared" si="3"/>
        <v>0</v>
      </c>
      <c r="N130" s="89"/>
    </row>
    <row r="131" spans="2:14">
      <c r="B131" s="17"/>
      <c r="F131" s="119">
        <f>DASHBOARD!$D$110</f>
        <v>0</v>
      </c>
      <c r="G131" s="120" t="s">
        <v>17</v>
      </c>
      <c r="H131" s="121">
        <f>DASHBOARD!$D$36</f>
        <v>45.12</v>
      </c>
      <c r="I131" s="122">
        <v>8</v>
      </c>
      <c r="J131" s="120">
        <f>0.625*F131*(8/7)</f>
        <v>0</v>
      </c>
      <c r="K131" s="120"/>
      <c r="L131" s="123">
        <f>F131*H131*I131*J131</f>
        <v>0</v>
      </c>
      <c r="M131" s="1" t="s">
        <v>287</v>
      </c>
      <c r="N131" s="89"/>
    </row>
    <row r="132" spans="2:14">
      <c r="B132" s="17"/>
      <c r="F132" s="124" t="s">
        <v>281</v>
      </c>
      <c r="G132" s="120" t="s">
        <v>14</v>
      </c>
      <c r="H132" s="121">
        <f>DASHBOARD!$D$35</f>
        <v>24.612000000000002</v>
      </c>
      <c r="I132" s="122">
        <v>8</v>
      </c>
      <c r="J132" s="120">
        <f>0.625*(8/7)</f>
        <v>0.71428571428571419</v>
      </c>
      <c r="K132" s="120"/>
      <c r="L132" s="123">
        <f>F131*H132*I132*J132</f>
        <v>0</v>
      </c>
      <c r="M132" s="1" t="s">
        <v>287</v>
      </c>
      <c r="N132" s="89"/>
    </row>
    <row r="133" spans="2:14">
      <c r="B133" s="17"/>
      <c r="F133" s="124"/>
      <c r="G133" s="120" t="s">
        <v>291</v>
      </c>
      <c r="H133" s="121">
        <f>DASHBOARD!$D$59</f>
        <v>0.23960000000000001</v>
      </c>
      <c r="I133" s="122">
        <v>1</v>
      </c>
      <c r="J133" s="120">
        <v>100</v>
      </c>
      <c r="K133" s="120"/>
      <c r="L133" s="123">
        <f>F131*H133*I133*J133</f>
        <v>0</v>
      </c>
      <c r="N133" s="89"/>
    </row>
    <row r="134" spans="2:14">
      <c r="B134" s="17"/>
      <c r="F134" s="119"/>
      <c r="G134" s="120" t="s">
        <v>284</v>
      </c>
      <c r="H134" s="121">
        <v>10</v>
      </c>
      <c r="I134" s="122">
        <v>1</v>
      </c>
      <c r="J134" s="120">
        <v>100</v>
      </c>
      <c r="K134" s="120"/>
      <c r="L134" s="123">
        <f>F131*H134*I134*J134</f>
        <v>0</v>
      </c>
      <c r="M134" s="1" t="s">
        <v>290</v>
      </c>
      <c r="N134" s="89"/>
    </row>
    <row r="135" spans="2:14">
      <c r="B135" s="17"/>
      <c r="F135" s="119"/>
      <c r="G135" s="120" t="s">
        <v>283</v>
      </c>
      <c r="H135" s="121">
        <v>0.84</v>
      </c>
      <c r="I135" s="122">
        <v>1</v>
      </c>
      <c r="J135" s="120">
        <v>100</v>
      </c>
      <c r="K135" s="120"/>
      <c r="L135" s="123">
        <f>F131*H135*I135*J135</f>
        <v>0</v>
      </c>
      <c r="M135" s="1" t="s">
        <v>288</v>
      </c>
      <c r="N135" s="88" t="s">
        <v>289</v>
      </c>
    </row>
    <row r="136" spans="2:14">
      <c r="B136" s="17"/>
      <c r="F136" s="154">
        <f>DASHBOARD!$D$112</f>
        <v>0</v>
      </c>
      <c r="G136" s="155" t="s">
        <v>386</v>
      </c>
      <c r="H136" s="156">
        <f>DASHBOARD!$D$42</f>
        <v>30</v>
      </c>
      <c r="I136" s="157">
        <v>8</v>
      </c>
      <c r="J136" s="155">
        <f>((DASHBOARD!$D$113*100)/480)*(8/7)</f>
        <v>1.1904761904761905</v>
      </c>
      <c r="K136" s="155">
        <f>D117*F117*F136*I136*J136</f>
        <v>0</v>
      </c>
      <c r="L136" s="158">
        <f>F136*H136*I136*J136</f>
        <v>0</v>
      </c>
      <c r="M136" s="1" t="s">
        <v>460</v>
      </c>
      <c r="N136" s="88" t="s">
        <v>387</v>
      </c>
    </row>
    <row r="137" spans="2:14">
      <c r="B137" s="17"/>
      <c r="F137" s="159" t="s">
        <v>281</v>
      </c>
      <c r="G137" s="155" t="s">
        <v>382</v>
      </c>
      <c r="H137" s="156">
        <f>DASHBOARD!$D$59</f>
        <v>0.23960000000000001</v>
      </c>
      <c r="I137" s="157">
        <v>1</v>
      </c>
      <c r="J137" s="155">
        <v>100</v>
      </c>
      <c r="K137" s="155"/>
      <c r="L137" s="158">
        <f>F136*H137*I137*J137</f>
        <v>0</v>
      </c>
      <c r="M137" s="1" t="s">
        <v>388</v>
      </c>
      <c r="N137" s="88"/>
    </row>
    <row r="138" spans="2:14">
      <c r="B138" s="17"/>
      <c r="F138" s="159" t="s">
        <v>380</v>
      </c>
      <c r="G138" s="155" t="s">
        <v>383</v>
      </c>
      <c r="H138" s="156">
        <f>DASHBOARD!$D$60</f>
        <v>1.7004999999999999</v>
      </c>
      <c r="I138" s="157">
        <v>1</v>
      </c>
      <c r="J138" s="155">
        <v>100</v>
      </c>
      <c r="K138" s="155"/>
      <c r="L138" s="158">
        <f>F136*H138*I138*J138</f>
        <v>0</v>
      </c>
      <c r="M138" s="1" t="s">
        <v>388</v>
      </c>
      <c r="N138" s="88"/>
    </row>
    <row r="139" spans="2:14">
      <c r="B139" s="17"/>
      <c r="F139" s="154"/>
      <c r="G139" s="155" t="s">
        <v>41</v>
      </c>
      <c r="H139" s="156">
        <f>DASHBOARD!$D$57</f>
        <v>3.95</v>
      </c>
      <c r="I139" s="157">
        <v>1</v>
      </c>
      <c r="J139" s="155">
        <f>I136*J136/2</f>
        <v>4.7619047619047619</v>
      </c>
      <c r="K139" s="155"/>
      <c r="L139" s="158">
        <f>F136*H139*I139*J139</f>
        <v>0</v>
      </c>
      <c r="M139" s="1" t="s">
        <v>385</v>
      </c>
      <c r="N139" s="88"/>
    </row>
    <row r="140" spans="2:14">
      <c r="B140" s="17"/>
      <c r="F140" s="154"/>
      <c r="G140" s="155" t="s">
        <v>384</v>
      </c>
      <c r="H140" s="156">
        <f>DASHBOARD!$D$58</f>
        <v>13.95</v>
      </c>
      <c r="I140" s="157">
        <v>1</v>
      </c>
      <c r="J140" s="155">
        <f>I136*J136/2</f>
        <v>4.7619047619047619</v>
      </c>
      <c r="K140" s="155"/>
      <c r="L140" s="158">
        <f>F136*H140*I140*J140</f>
        <v>0</v>
      </c>
      <c r="M140" s="1" t="s">
        <v>385</v>
      </c>
      <c r="N140" s="88"/>
    </row>
    <row r="141" spans="2:14">
      <c r="B141" s="17"/>
      <c r="F141" s="154"/>
      <c r="G141" s="155" t="s">
        <v>389</v>
      </c>
      <c r="H141" s="156">
        <f>DASHBOARD!$D$71</f>
        <v>2.2799999999999998</v>
      </c>
      <c r="I141" s="157">
        <v>1</v>
      </c>
      <c r="J141" s="155">
        <v>100</v>
      </c>
      <c r="K141" s="155"/>
      <c r="L141" s="158">
        <f>F136*H141*I141*J141</f>
        <v>0</v>
      </c>
      <c r="M141" s="1" t="s">
        <v>390</v>
      </c>
      <c r="N141" s="88" t="s">
        <v>391</v>
      </c>
    </row>
    <row r="142" spans="2:14">
      <c r="B142" s="17"/>
      <c r="F142" s="154"/>
      <c r="G142" s="155" t="s">
        <v>392</v>
      </c>
      <c r="H142" s="156">
        <f>DASHBOARD!$D$72</f>
        <v>0.39</v>
      </c>
      <c r="I142" s="157">
        <v>1</v>
      </c>
      <c r="J142" s="155">
        <v>100</v>
      </c>
      <c r="K142" s="155"/>
      <c r="L142" s="158">
        <f>F136*H142*I142*J142</f>
        <v>0</v>
      </c>
      <c r="M142" s="1" t="s">
        <v>393</v>
      </c>
      <c r="N142" s="88" t="s">
        <v>394</v>
      </c>
    </row>
    <row r="143" spans="2:14" ht="63">
      <c r="B143" s="17"/>
      <c r="F143" s="2">
        <f>1-F117</f>
        <v>1</v>
      </c>
      <c r="G143" s="41" t="s">
        <v>14</v>
      </c>
      <c r="H143" s="7">
        <f>DASHBOARD!D133</f>
        <v>1</v>
      </c>
      <c r="I143" s="34">
        <v>6</v>
      </c>
      <c r="J143" s="5">
        <f>2*(8/7)</f>
        <v>2.2857142857142856</v>
      </c>
      <c r="K143" s="11">
        <f>D118*F143*I143*J143</f>
        <v>0</v>
      </c>
      <c r="L143" s="6">
        <f>H143*I143*J143</f>
        <v>13.714285714285714</v>
      </c>
      <c r="M143" s="1" t="s">
        <v>165</v>
      </c>
      <c r="N143" s="83" t="s">
        <v>111</v>
      </c>
    </row>
    <row r="144" spans="2:14">
      <c r="B144" s="17"/>
      <c r="G144" s="41" t="s">
        <v>17</v>
      </c>
      <c r="H144" s="7">
        <f>DASHBOARD!$D$36</f>
        <v>45.12</v>
      </c>
      <c r="I144" s="34">
        <v>8</v>
      </c>
      <c r="J144" s="5">
        <f>2*(8/7)</f>
        <v>2.2857142857142856</v>
      </c>
      <c r="K144" s="11">
        <f>D118*F143*I144*J144</f>
        <v>0</v>
      </c>
      <c r="L144" s="6">
        <f>H144*I144*J144</f>
        <v>825.05142857142846</v>
      </c>
      <c r="N144" s="87" t="s">
        <v>112</v>
      </c>
    </row>
    <row r="145" spans="2:14">
      <c r="B145" s="17"/>
      <c r="G145" s="41" t="s">
        <v>12</v>
      </c>
      <c r="H145" s="7">
        <f>DASHBOARD!$D$37</f>
        <v>19.8</v>
      </c>
      <c r="I145" s="34">
        <v>8</v>
      </c>
      <c r="J145" s="5">
        <f>2*(8/7)</f>
        <v>2.2857142857142856</v>
      </c>
      <c r="K145" s="11">
        <f>D118*F143*I145*J145</f>
        <v>0</v>
      </c>
      <c r="L145" s="6">
        <f t="shared" ref="L145:L155" si="4">H145*I145*J145</f>
        <v>362.05714285714288</v>
      </c>
      <c r="N145" s="87" t="s">
        <v>113</v>
      </c>
    </row>
    <row r="146" spans="2:14">
      <c r="B146" s="17"/>
      <c r="G146" s="41" t="s">
        <v>13</v>
      </c>
      <c r="H146" s="7">
        <f>DASHBOARD!$D$38</f>
        <v>39.6</v>
      </c>
      <c r="I146" s="34">
        <v>8</v>
      </c>
      <c r="J146" s="5">
        <f>0.18*(8/7)</f>
        <v>0.20571428571428568</v>
      </c>
      <c r="K146" s="71">
        <f>D118*F143*I146*J146</f>
        <v>0</v>
      </c>
      <c r="L146" s="6">
        <f t="shared" si="4"/>
        <v>65.170285714285711</v>
      </c>
      <c r="N146" s="87" t="s">
        <v>114</v>
      </c>
    </row>
    <row r="147" spans="2:14">
      <c r="B147" s="17"/>
      <c r="G147" s="41" t="s">
        <v>449</v>
      </c>
      <c r="H147" s="7">
        <f>DASHBOARD!$D$46</f>
        <v>54.804000000000002</v>
      </c>
      <c r="I147" s="34">
        <v>8</v>
      </c>
      <c r="J147" s="5">
        <f>0.19*(8/7)</f>
        <v>0.21714285714285714</v>
      </c>
      <c r="K147" s="249">
        <f>D118*F143*I147*J147</f>
        <v>0</v>
      </c>
      <c r="L147" s="6">
        <f t="shared" si="4"/>
        <v>95.202377142857145</v>
      </c>
      <c r="N147" s="87" t="s">
        <v>115</v>
      </c>
    </row>
    <row r="148" spans="2:14">
      <c r="B148" s="17"/>
      <c r="G148" s="41" t="s">
        <v>325</v>
      </c>
      <c r="H148" s="7">
        <f>DASHBOARD!$D$43</f>
        <v>21.599999999999998</v>
      </c>
      <c r="I148" s="34">
        <v>8</v>
      </c>
      <c r="J148" s="5">
        <f>0.75*(8/7)</f>
        <v>0.8571428571428571</v>
      </c>
      <c r="K148" s="249">
        <f>D119*F144*I148*J148</f>
        <v>0</v>
      </c>
      <c r="L148" s="6">
        <f t="shared" si="4"/>
        <v>148.1142857142857</v>
      </c>
      <c r="N148" s="87"/>
    </row>
    <row r="149" spans="2:14">
      <c r="B149" s="17"/>
      <c r="G149" s="5" t="s">
        <v>8</v>
      </c>
      <c r="H149" s="7">
        <f>DASHBOARD!$D$56</f>
        <v>0.16259999999999999</v>
      </c>
      <c r="I149" s="34">
        <v>1</v>
      </c>
      <c r="J149" s="5">
        <v>8</v>
      </c>
      <c r="K149" s="5"/>
      <c r="L149" s="6">
        <f t="shared" si="4"/>
        <v>1.3008</v>
      </c>
      <c r="M149" s="1" t="s">
        <v>121</v>
      </c>
      <c r="N149" s="87" t="s">
        <v>116</v>
      </c>
    </row>
    <row r="150" spans="2:14">
      <c r="B150" s="17"/>
      <c r="G150" s="5" t="s">
        <v>41</v>
      </c>
      <c r="H150" s="7">
        <f>DASHBOARD!$D$57</f>
        <v>3.95</v>
      </c>
      <c r="I150" s="34">
        <v>1</v>
      </c>
      <c r="J150" s="5">
        <v>8</v>
      </c>
      <c r="K150" s="5"/>
      <c r="L150" s="6">
        <f t="shared" si="4"/>
        <v>31.6</v>
      </c>
      <c r="M150" s="1" t="s">
        <v>122</v>
      </c>
      <c r="N150" s="87" t="s">
        <v>117</v>
      </c>
    </row>
    <row r="151" spans="2:14">
      <c r="B151" s="17"/>
      <c r="G151" s="5" t="s">
        <v>9</v>
      </c>
      <c r="H151" s="7">
        <f>DASHBOARD!$D$58</f>
        <v>13.95</v>
      </c>
      <c r="I151" s="34">
        <v>1</v>
      </c>
      <c r="J151" s="5">
        <v>11</v>
      </c>
      <c r="K151" s="5"/>
      <c r="L151" s="6">
        <f t="shared" si="4"/>
        <v>153.44999999999999</v>
      </c>
      <c r="M151" s="1" t="s">
        <v>122</v>
      </c>
      <c r="N151" s="87" t="s">
        <v>118</v>
      </c>
    </row>
    <row r="152" spans="2:14">
      <c r="B152" s="17"/>
      <c r="G152" s="5" t="s">
        <v>16</v>
      </c>
      <c r="H152" s="7">
        <f>DASHBOARD!$D$59</f>
        <v>0.23960000000000001</v>
      </c>
      <c r="I152" s="34">
        <v>1</v>
      </c>
      <c r="J152" s="5">
        <v>208</v>
      </c>
      <c r="K152" s="5"/>
      <c r="L152" s="6">
        <f t="shared" si="4"/>
        <v>49.836800000000004</v>
      </c>
      <c r="M152" s="1" t="s">
        <v>123</v>
      </c>
      <c r="N152" s="87" t="s">
        <v>119</v>
      </c>
    </row>
    <row r="153" spans="2:14">
      <c r="B153" s="17"/>
      <c r="G153" s="5" t="s">
        <v>10</v>
      </c>
      <c r="H153" s="7">
        <f>DASHBOARD!$D$60</f>
        <v>1.7004999999999999</v>
      </c>
      <c r="I153" s="34">
        <v>1</v>
      </c>
      <c r="J153" s="5">
        <v>200</v>
      </c>
      <c r="K153" s="5"/>
      <c r="L153" s="6">
        <f t="shared" si="4"/>
        <v>340.09999999999997</v>
      </c>
      <c r="M153" s="1" t="s">
        <v>124</v>
      </c>
      <c r="N153" s="87" t="s">
        <v>119</v>
      </c>
    </row>
    <row r="154" spans="2:14">
      <c r="B154" s="17"/>
      <c r="G154" s="5" t="s">
        <v>144</v>
      </c>
      <c r="H154" s="7">
        <f>DASHBOARD!$D$61</f>
        <v>3.32</v>
      </c>
      <c r="I154" s="34">
        <v>1</v>
      </c>
      <c r="J154" s="5">
        <v>100</v>
      </c>
      <c r="K154" s="5"/>
      <c r="L154" s="6">
        <f t="shared" si="4"/>
        <v>332</v>
      </c>
      <c r="M154" s="1" t="s">
        <v>145</v>
      </c>
      <c r="N154" s="89" t="s">
        <v>147</v>
      </c>
    </row>
    <row r="155" spans="2:14">
      <c r="B155" s="17"/>
      <c r="G155" s="5" t="s">
        <v>11</v>
      </c>
      <c r="H155" s="7">
        <f>DASHBOARD!$D$62</f>
        <v>0.72</v>
      </c>
      <c r="I155" s="34">
        <v>1</v>
      </c>
      <c r="J155" s="5">
        <f>100</f>
        <v>100</v>
      </c>
      <c r="K155" s="5"/>
      <c r="L155" s="6">
        <f t="shared" si="4"/>
        <v>72</v>
      </c>
      <c r="M155" s="1" t="s">
        <v>146</v>
      </c>
      <c r="N155" s="89" t="s">
        <v>148</v>
      </c>
    </row>
    <row r="156" spans="2:14">
      <c r="B156" s="17"/>
      <c r="G156" s="42" t="s">
        <v>202</v>
      </c>
      <c r="H156" s="3">
        <v>0</v>
      </c>
      <c r="I156" s="32">
        <v>1</v>
      </c>
      <c r="J156" s="11">
        <v>100</v>
      </c>
      <c r="K156" s="11"/>
      <c r="L156" s="6">
        <f>H156*I156*J156</f>
        <v>0</v>
      </c>
      <c r="N156" s="89"/>
    </row>
    <row r="157" spans="2:14">
      <c r="B157" s="17"/>
      <c r="F157" s="119">
        <f>DASHBOARD!$D$110</f>
        <v>0</v>
      </c>
      <c r="G157" s="120" t="s">
        <v>17</v>
      </c>
      <c r="H157" s="121">
        <f>DASHBOARD!$D$36</f>
        <v>45.12</v>
      </c>
      <c r="I157" s="122">
        <v>8</v>
      </c>
      <c r="J157" s="120">
        <f>0.625*F157*(8/7)</f>
        <v>0</v>
      </c>
      <c r="K157" s="120"/>
      <c r="L157" s="123">
        <f>F157*H157*I157*J157</f>
        <v>0</v>
      </c>
      <c r="M157" s="1" t="s">
        <v>287</v>
      </c>
      <c r="N157" s="89"/>
    </row>
    <row r="158" spans="2:14">
      <c r="B158" s="17"/>
      <c r="F158" s="124" t="s">
        <v>281</v>
      </c>
      <c r="G158" s="120" t="s">
        <v>14</v>
      </c>
      <c r="H158" s="121">
        <f>DASHBOARD!$D$35</f>
        <v>24.612000000000002</v>
      </c>
      <c r="I158" s="122">
        <v>8</v>
      </c>
      <c r="J158" s="120">
        <f>0.625*(8/7)</f>
        <v>0.71428571428571419</v>
      </c>
      <c r="K158" s="120"/>
      <c r="L158" s="123">
        <f>F157*H158*I158*J158</f>
        <v>0</v>
      </c>
      <c r="M158" s="1" t="s">
        <v>287</v>
      </c>
      <c r="N158" s="89"/>
    </row>
    <row r="159" spans="2:14">
      <c r="B159" s="17"/>
      <c r="F159" s="124"/>
      <c r="G159" s="120" t="s">
        <v>291</v>
      </c>
      <c r="H159" s="121">
        <f>DASHBOARD!$D$59</f>
        <v>0.23960000000000001</v>
      </c>
      <c r="I159" s="122">
        <v>1</v>
      </c>
      <c r="J159" s="120">
        <v>100</v>
      </c>
      <c r="K159" s="120"/>
      <c r="L159" s="123">
        <f>F157*H159*I159*J159</f>
        <v>0</v>
      </c>
      <c r="N159" s="89"/>
    </row>
    <row r="160" spans="2:14">
      <c r="B160" s="17"/>
      <c r="F160" s="119"/>
      <c r="G160" s="120" t="s">
        <v>284</v>
      </c>
      <c r="H160" s="121">
        <v>10</v>
      </c>
      <c r="I160" s="122">
        <v>1</v>
      </c>
      <c r="J160" s="120">
        <v>100</v>
      </c>
      <c r="K160" s="120"/>
      <c r="L160" s="123">
        <f>F157*H160*I160*J160</f>
        <v>0</v>
      </c>
      <c r="M160" s="1" t="s">
        <v>290</v>
      </c>
      <c r="N160" s="89"/>
    </row>
    <row r="161" spans="2:14">
      <c r="B161" s="17"/>
      <c r="F161" s="119"/>
      <c r="G161" s="120" t="s">
        <v>283</v>
      </c>
      <c r="H161" s="121">
        <v>0.84</v>
      </c>
      <c r="I161" s="122">
        <v>1</v>
      </c>
      <c r="J161" s="120">
        <v>100</v>
      </c>
      <c r="K161" s="120"/>
      <c r="L161" s="123">
        <f>F157*H161*I161*J161</f>
        <v>0</v>
      </c>
      <c r="M161" s="1" t="s">
        <v>288</v>
      </c>
      <c r="N161" s="88" t="s">
        <v>289</v>
      </c>
    </row>
    <row r="162" spans="2:14">
      <c r="B162" s="17"/>
      <c r="F162" s="154">
        <f>DASHBOARD!$D$112</f>
        <v>0</v>
      </c>
      <c r="G162" s="155" t="s">
        <v>386</v>
      </c>
      <c r="H162" s="156">
        <f>DASHBOARD!$D$42</f>
        <v>30</v>
      </c>
      <c r="I162" s="157">
        <v>8</v>
      </c>
      <c r="J162" s="155">
        <f>((DASHBOARD!$D$113*100)/480)*(8/7)</f>
        <v>1.1904761904761905</v>
      </c>
      <c r="K162" s="155">
        <f>D119*F143*F162*I162*J162</f>
        <v>0</v>
      </c>
      <c r="L162" s="158">
        <f>F162*H162*I162*J162</f>
        <v>0</v>
      </c>
      <c r="M162" s="1" t="s">
        <v>460</v>
      </c>
      <c r="N162" s="88" t="s">
        <v>387</v>
      </c>
    </row>
    <row r="163" spans="2:14">
      <c r="B163" s="17"/>
      <c r="F163" s="159" t="s">
        <v>281</v>
      </c>
      <c r="G163" s="155" t="s">
        <v>382</v>
      </c>
      <c r="H163" s="156">
        <f>DASHBOARD!$D$59</f>
        <v>0.23960000000000001</v>
      </c>
      <c r="I163" s="157">
        <v>1</v>
      </c>
      <c r="J163" s="155">
        <v>100</v>
      </c>
      <c r="K163" s="155"/>
      <c r="L163" s="158">
        <f>F162*H163*I163*J163</f>
        <v>0</v>
      </c>
      <c r="M163" s="1" t="s">
        <v>388</v>
      </c>
      <c r="N163" s="88"/>
    </row>
    <row r="164" spans="2:14">
      <c r="B164" s="17"/>
      <c r="F164" s="159" t="s">
        <v>380</v>
      </c>
      <c r="G164" s="155" t="s">
        <v>383</v>
      </c>
      <c r="H164" s="156">
        <f>DASHBOARD!$D$60</f>
        <v>1.7004999999999999</v>
      </c>
      <c r="I164" s="157">
        <v>1</v>
      </c>
      <c r="J164" s="155">
        <v>100</v>
      </c>
      <c r="K164" s="155"/>
      <c r="L164" s="158">
        <f>F162*H164*I164*J164</f>
        <v>0</v>
      </c>
      <c r="M164" s="1" t="s">
        <v>388</v>
      </c>
      <c r="N164" s="88"/>
    </row>
    <row r="165" spans="2:14">
      <c r="B165" s="17"/>
      <c r="F165" s="154"/>
      <c r="G165" s="155" t="s">
        <v>41</v>
      </c>
      <c r="H165" s="156">
        <f>DASHBOARD!$D$57</f>
        <v>3.95</v>
      </c>
      <c r="I165" s="157">
        <v>1</v>
      </c>
      <c r="J165" s="155">
        <f>I162*J162/2</f>
        <v>4.7619047619047619</v>
      </c>
      <c r="K165" s="155"/>
      <c r="L165" s="158">
        <f>F162*H165*I165*J165</f>
        <v>0</v>
      </c>
      <c r="M165" s="1" t="s">
        <v>385</v>
      </c>
      <c r="N165" s="88"/>
    </row>
    <row r="166" spans="2:14">
      <c r="B166" s="17"/>
      <c r="F166" s="154"/>
      <c r="G166" s="155" t="s">
        <v>384</v>
      </c>
      <c r="H166" s="156">
        <f>DASHBOARD!$D$58</f>
        <v>13.95</v>
      </c>
      <c r="I166" s="157">
        <v>1</v>
      </c>
      <c r="J166" s="155">
        <f>I162*J162/2</f>
        <v>4.7619047619047619</v>
      </c>
      <c r="K166" s="155"/>
      <c r="L166" s="158">
        <f>F162*H166*I166*J166</f>
        <v>0</v>
      </c>
      <c r="M166" s="1" t="s">
        <v>385</v>
      </c>
      <c r="N166" s="88"/>
    </row>
    <row r="167" spans="2:14">
      <c r="B167" s="17"/>
      <c r="F167" s="154"/>
      <c r="G167" s="155" t="s">
        <v>389</v>
      </c>
      <c r="H167" s="156">
        <f>DASHBOARD!$D$71</f>
        <v>2.2799999999999998</v>
      </c>
      <c r="I167" s="157">
        <v>1</v>
      </c>
      <c r="J167" s="155">
        <v>100</v>
      </c>
      <c r="K167" s="155"/>
      <c r="L167" s="158">
        <f>F162*H167*I167*J167</f>
        <v>0</v>
      </c>
      <c r="M167" s="1" t="s">
        <v>390</v>
      </c>
      <c r="N167" s="88" t="s">
        <v>391</v>
      </c>
    </row>
    <row r="168" spans="2:14">
      <c r="B168" s="17"/>
      <c r="F168" s="154"/>
      <c r="G168" s="155" t="s">
        <v>392</v>
      </c>
      <c r="H168" s="156">
        <f>DASHBOARD!$D$72</f>
        <v>0.39</v>
      </c>
      <c r="I168" s="157">
        <v>1</v>
      </c>
      <c r="J168" s="155">
        <v>100</v>
      </c>
      <c r="K168" s="155"/>
      <c r="L168" s="158">
        <f>F162*H168*I168*J168</f>
        <v>0</v>
      </c>
      <c r="M168" s="1" t="s">
        <v>393</v>
      </c>
      <c r="N168" s="88" t="s">
        <v>394</v>
      </c>
    </row>
    <row r="169" spans="2:14" ht="47.25">
      <c r="B169" s="17"/>
      <c r="D169" s="115">
        <f>(1-(C5/C4))*0.7*DASHBOARD!$D$139</f>
        <v>6.8424384526394974E-2</v>
      </c>
      <c r="E169" s="21" t="s">
        <v>258</v>
      </c>
      <c r="F169" s="2">
        <f>DASHBOARD!$D$123</f>
        <v>0</v>
      </c>
      <c r="G169" s="41" t="s">
        <v>14</v>
      </c>
      <c r="H169" s="7">
        <f>DASHBOARD!$D$35</f>
        <v>24.612000000000002</v>
      </c>
      <c r="I169" s="34">
        <v>8</v>
      </c>
      <c r="J169" s="5">
        <f>J170+2/2</f>
        <v>1.6</v>
      </c>
      <c r="K169" s="11">
        <f>D169*F169*I169*J169</f>
        <v>0</v>
      </c>
      <c r="L169" s="6">
        <f>H169*I169*J169</f>
        <v>315.03360000000004</v>
      </c>
      <c r="M169" s="1" t="s">
        <v>322</v>
      </c>
      <c r="N169" s="83" t="s">
        <v>111</v>
      </c>
    </row>
    <row r="170" spans="2:14">
      <c r="B170" s="17"/>
      <c r="G170" s="41" t="s">
        <v>17</v>
      </c>
      <c r="H170" s="7">
        <f>DASHBOARD!$D$36</f>
        <v>45.12</v>
      </c>
      <c r="I170" s="34">
        <v>8</v>
      </c>
      <c r="J170" s="5">
        <v>0.6</v>
      </c>
      <c r="K170" s="11">
        <f>D169*F169*I170*J170</f>
        <v>0</v>
      </c>
      <c r="L170" s="6">
        <f>H170*I170*J170</f>
        <v>216.57599999999999</v>
      </c>
      <c r="M170" s="1" t="s">
        <v>321</v>
      </c>
      <c r="N170" s="87" t="s">
        <v>112</v>
      </c>
    </row>
    <row r="171" spans="2:14">
      <c r="B171" s="17"/>
      <c r="G171" s="41" t="s">
        <v>6</v>
      </c>
      <c r="H171" s="3">
        <f>DASHBOARD!$D$40</f>
        <v>24.276</v>
      </c>
      <c r="I171" s="34">
        <v>8</v>
      </c>
      <c r="J171" s="5">
        <v>0.6</v>
      </c>
      <c r="K171" s="11">
        <f>D169*F169*I171*J171</f>
        <v>0</v>
      </c>
      <c r="L171" s="6">
        <f t="shared" ref="L171:L173" si="5">H171*I171*J171</f>
        <v>116.5248</v>
      </c>
      <c r="N171" s="87" t="s">
        <v>114</v>
      </c>
    </row>
    <row r="172" spans="2:14">
      <c r="B172" s="17"/>
      <c r="G172" s="41" t="s">
        <v>12</v>
      </c>
      <c r="H172" s="7">
        <f>DASHBOARD!$D$37</f>
        <v>19.8</v>
      </c>
      <c r="I172" s="34">
        <v>8</v>
      </c>
      <c r="J172" s="5">
        <v>0.8</v>
      </c>
      <c r="K172" s="71">
        <f>D169*F169*I172*J172</f>
        <v>0</v>
      </c>
      <c r="L172" s="6">
        <f t="shared" si="5"/>
        <v>126.72000000000001</v>
      </c>
      <c r="M172" s="1" t="s">
        <v>320</v>
      </c>
      <c r="N172" s="87"/>
    </row>
    <row r="173" spans="2:14">
      <c r="B173" s="17"/>
      <c r="G173" s="41" t="s">
        <v>449</v>
      </c>
      <c r="H173" s="7">
        <f>DASHBOARD!$D$46</f>
        <v>54.804000000000002</v>
      </c>
      <c r="I173" s="34">
        <v>8</v>
      </c>
      <c r="J173" s="5">
        <v>0.2</v>
      </c>
      <c r="K173" s="249">
        <f>D169*F169*I173*J173</f>
        <v>0</v>
      </c>
      <c r="L173" s="6">
        <f t="shared" si="5"/>
        <v>87.686400000000006</v>
      </c>
      <c r="M173" s="1" t="s">
        <v>324</v>
      </c>
      <c r="N173" s="87"/>
    </row>
    <row r="174" spans="2:14">
      <c r="B174" s="17"/>
      <c r="G174" s="42" t="s">
        <v>202</v>
      </c>
      <c r="H174" s="3">
        <v>0</v>
      </c>
      <c r="I174" s="32">
        <v>1</v>
      </c>
      <c r="J174" s="11">
        <v>100</v>
      </c>
      <c r="K174" s="71"/>
      <c r="L174" s="6">
        <f>H174*I174*J174</f>
        <v>0</v>
      </c>
      <c r="N174" s="87"/>
    </row>
    <row r="175" spans="2:14">
      <c r="B175" s="17"/>
      <c r="G175" s="41" t="s">
        <v>323</v>
      </c>
      <c r="H175" s="7">
        <f>DASHBOARD!$D$47</f>
        <v>60</v>
      </c>
      <c r="I175" s="34">
        <v>8</v>
      </c>
      <c r="J175" s="5">
        <v>0.2</v>
      </c>
      <c r="K175" s="71">
        <f>D169*F169*I175*J175</f>
        <v>0</v>
      </c>
      <c r="L175" s="6">
        <f t="shared" ref="L175:L183" si="6">H175*I175*J175</f>
        <v>96</v>
      </c>
      <c r="M175" s="1" t="s">
        <v>324</v>
      </c>
      <c r="N175" s="87"/>
    </row>
    <row r="176" spans="2:14">
      <c r="B176" s="17"/>
      <c r="G176" s="41" t="s">
        <v>325</v>
      </c>
      <c r="H176" s="7">
        <f>DASHBOARD!$D$43</f>
        <v>21.599999999999998</v>
      </c>
      <c r="I176" s="34">
        <v>8</v>
      </c>
      <c r="J176" s="5">
        <v>0.8</v>
      </c>
      <c r="K176" s="71">
        <f>D169*F169*I176*J176</f>
        <v>0</v>
      </c>
      <c r="L176" s="6">
        <f t="shared" si="6"/>
        <v>138.23999999999998</v>
      </c>
      <c r="M176" s="1" t="s">
        <v>326</v>
      </c>
      <c r="N176" s="87"/>
    </row>
    <row r="177" spans="2:14">
      <c r="B177" s="17"/>
      <c r="G177" s="5" t="s">
        <v>8</v>
      </c>
      <c r="H177" s="7">
        <f>DASHBOARD!$D$56</f>
        <v>0.16259999999999999</v>
      </c>
      <c r="I177" s="34">
        <v>1</v>
      </c>
      <c r="J177" s="5">
        <f>4*J169</f>
        <v>6.4</v>
      </c>
      <c r="K177" s="5"/>
      <c r="L177" s="6">
        <f t="shared" si="6"/>
        <v>1.04064</v>
      </c>
      <c r="M177" s="1" t="s">
        <v>121</v>
      </c>
      <c r="N177" s="87" t="s">
        <v>116</v>
      </c>
    </row>
    <row r="178" spans="2:14">
      <c r="B178" s="17"/>
      <c r="G178" s="5" t="s">
        <v>41</v>
      </c>
      <c r="H178" s="7">
        <f>DASHBOARD!$D$57</f>
        <v>3.95</v>
      </c>
      <c r="I178" s="34">
        <v>1</v>
      </c>
      <c r="J178" s="5">
        <f>(4*J170)+(4*J171)+(4*0.6)</f>
        <v>7.1999999999999993</v>
      </c>
      <c r="K178" s="5"/>
      <c r="L178" s="6">
        <f t="shared" si="6"/>
        <v>28.439999999999998</v>
      </c>
      <c r="M178" s="1" t="s">
        <v>122</v>
      </c>
      <c r="N178" s="87" t="s">
        <v>117</v>
      </c>
    </row>
    <row r="179" spans="2:14">
      <c r="B179" s="17"/>
      <c r="G179" s="5" t="s">
        <v>9</v>
      </c>
      <c r="H179" s="7">
        <f>DASHBOARD!$D$58</f>
        <v>13.95</v>
      </c>
      <c r="I179" s="34">
        <v>1</v>
      </c>
      <c r="J179" s="5">
        <f>(4*J170)+(4*J171)+(4*0.6)</f>
        <v>7.1999999999999993</v>
      </c>
      <c r="K179" s="5"/>
      <c r="L179" s="6">
        <f t="shared" si="6"/>
        <v>100.43999999999998</v>
      </c>
      <c r="M179" s="1" t="s">
        <v>122</v>
      </c>
      <c r="N179" s="87" t="s">
        <v>118</v>
      </c>
    </row>
    <row r="180" spans="2:14">
      <c r="B180" s="17"/>
      <c r="G180" s="5" t="s">
        <v>16</v>
      </c>
      <c r="H180" s="7">
        <f>DASHBOARD!$D$59</f>
        <v>0.23960000000000001</v>
      </c>
      <c r="I180" s="34">
        <v>1</v>
      </c>
      <c r="J180" s="5">
        <f>(4*(J169-0.6))+100+100+100</f>
        <v>304</v>
      </c>
      <c r="K180" s="5"/>
      <c r="L180" s="6">
        <f t="shared" si="6"/>
        <v>72.838400000000007</v>
      </c>
      <c r="M180" s="1" t="s">
        <v>123</v>
      </c>
      <c r="N180" s="87" t="s">
        <v>119</v>
      </c>
    </row>
    <row r="181" spans="2:14">
      <c r="B181" s="17"/>
      <c r="G181" s="5" t="s">
        <v>10</v>
      </c>
      <c r="H181" s="7">
        <f>DASHBOARD!$D$60</f>
        <v>1.7004999999999999</v>
      </c>
      <c r="I181" s="34">
        <v>1</v>
      </c>
      <c r="J181" s="5">
        <f>100+100+100</f>
        <v>300</v>
      </c>
      <c r="K181" s="5"/>
      <c r="L181" s="6">
        <f t="shared" si="6"/>
        <v>510.15</v>
      </c>
      <c r="M181" s="1" t="s">
        <v>124</v>
      </c>
      <c r="N181" s="87" t="s">
        <v>119</v>
      </c>
    </row>
    <row r="182" spans="2:14">
      <c r="B182" s="17"/>
      <c r="G182" s="5" t="s">
        <v>144</v>
      </c>
      <c r="H182" s="7">
        <f>DASHBOARD!$D$61</f>
        <v>3.32</v>
      </c>
      <c r="I182" s="34">
        <v>1</v>
      </c>
      <c r="J182" s="5">
        <v>100</v>
      </c>
      <c r="K182" s="5"/>
      <c r="L182" s="6">
        <f t="shared" si="6"/>
        <v>332</v>
      </c>
      <c r="M182" s="1" t="s">
        <v>145</v>
      </c>
      <c r="N182" s="89" t="s">
        <v>147</v>
      </c>
    </row>
    <row r="183" spans="2:14">
      <c r="B183" s="17"/>
      <c r="G183" s="5" t="s">
        <v>11</v>
      </c>
      <c r="H183" s="7">
        <f>DASHBOARD!$D$62</f>
        <v>0.72</v>
      </c>
      <c r="I183" s="34">
        <v>1</v>
      </c>
      <c r="J183" s="5">
        <f>100</f>
        <v>100</v>
      </c>
      <c r="K183" s="5"/>
      <c r="L183" s="6">
        <f t="shared" si="6"/>
        <v>72</v>
      </c>
      <c r="M183" s="1" t="s">
        <v>146</v>
      </c>
      <c r="N183" s="89" t="s">
        <v>148</v>
      </c>
    </row>
    <row r="184" spans="2:14">
      <c r="B184" s="17"/>
      <c r="F184" s="119">
        <f>DASHBOARD!$D$110</f>
        <v>0</v>
      </c>
      <c r="G184" s="120" t="s">
        <v>17</v>
      </c>
      <c r="H184" s="121">
        <f>DASHBOARD!$D$36</f>
        <v>45.12</v>
      </c>
      <c r="I184" s="122">
        <v>8</v>
      </c>
      <c r="J184" s="120">
        <f>0.625*F184*(8/7)</f>
        <v>0</v>
      </c>
      <c r="K184" s="120"/>
      <c r="L184" s="123">
        <f>F184*H184*I184*J184</f>
        <v>0</v>
      </c>
      <c r="M184" s="1" t="s">
        <v>287</v>
      </c>
      <c r="N184" s="89"/>
    </row>
    <row r="185" spans="2:14">
      <c r="B185" s="17"/>
      <c r="F185" s="124" t="s">
        <v>281</v>
      </c>
      <c r="G185" s="120" t="s">
        <v>6</v>
      </c>
      <c r="H185" s="121">
        <f>DASHBOARD!$D$40</f>
        <v>24.276</v>
      </c>
      <c r="I185" s="122">
        <v>8</v>
      </c>
      <c r="J185" s="120">
        <f>0.625*(8/7)</f>
        <v>0.71428571428571419</v>
      </c>
      <c r="K185" s="120"/>
      <c r="L185" s="123">
        <f>F184*H185*I185*J185</f>
        <v>0</v>
      </c>
      <c r="M185" s="1" t="s">
        <v>287</v>
      </c>
      <c r="N185" s="89"/>
    </row>
    <row r="186" spans="2:14">
      <c r="B186" s="17"/>
      <c r="F186" s="124"/>
      <c r="G186" s="120" t="s">
        <v>291</v>
      </c>
      <c r="H186" s="121">
        <f>DASHBOARD!$D$59</f>
        <v>0.23960000000000001</v>
      </c>
      <c r="I186" s="122">
        <v>1</v>
      </c>
      <c r="J186" s="120">
        <v>0</v>
      </c>
      <c r="K186" s="120"/>
      <c r="L186" s="123">
        <f>F184*H186*I186*J186</f>
        <v>0</v>
      </c>
      <c r="N186" s="89"/>
    </row>
    <row r="187" spans="2:14">
      <c r="B187" s="17"/>
      <c r="F187" s="119"/>
      <c r="G187" s="120" t="s">
        <v>284</v>
      </c>
      <c r="H187" s="121">
        <v>10</v>
      </c>
      <c r="I187" s="122">
        <v>1</v>
      </c>
      <c r="J187" s="120">
        <v>100</v>
      </c>
      <c r="K187" s="120"/>
      <c r="L187" s="123">
        <f>F184*H187*I187*J187</f>
        <v>0</v>
      </c>
      <c r="M187" s="1" t="s">
        <v>290</v>
      </c>
      <c r="N187" s="89"/>
    </row>
    <row r="188" spans="2:14">
      <c r="B188" s="17"/>
      <c r="F188" s="119"/>
      <c r="G188" s="120" t="s">
        <v>283</v>
      </c>
      <c r="H188" s="121">
        <v>0.84</v>
      </c>
      <c r="I188" s="122">
        <v>1</v>
      </c>
      <c r="J188" s="120">
        <v>100</v>
      </c>
      <c r="K188" s="120"/>
      <c r="L188" s="123">
        <f>F184*H188*I188*J188</f>
        <v>0</v>
      </c>
      <c r="M188" s="1" t="s">
        <v>288</v>
      </c>
      <c r="N188" s="88" t="s">
        <v>289</v>
      </c>
    </row>
    <row r="189" spans="2:14">
      <c r="B189" s="17"/>
      <c r="F189" s="154">
        <f>DASHBOARD!$D$112</f>
        <v>0</v>
      </c>
      <c r="G189" s="155" t="s">
        <v>386</v>
      </c>
      <c r="H189" s="156">
        <f>DASHBOARD!$D$42</f>
        <v>30</v>
      </c>
      <c r="I189" s="157">
        <v>8</v>
      </c>
      <c r="J189" s="155">
        <f>((DASHBOARD!$D$113*100)/480)*(8/7)</f>
        <v>1.1904761904761905</v>
      </c>
      <c r="K189" s="155">
        <f>D169*F169*F189*I189*J189</f>
        <v>0</v>
      </c>
      <c r="L189" s="158">
        <f>F189*H189*I189*J189</f>
        <v>0</v>
      </c>
      <c r="M189" s="1" t="s">
        <v>460</v>
      </c>
      <c r="N189" s="88" t="s">
        <v>387</v>
      </c>
    </row>
    <row r="190" spans="2:14">
      <c r="B190" s="17"/>
      <c r="F190" s="159" t="s">
        <v>281</v>
      </c>
      <c r="G190" s="155" t="s">
        <v>382</v>
      </c>
      <c r="H190" s="156">
        <f>DASHBOARD!$D$59</f>
        <v>0.23960000000000001</v>
      </c>
      <c r="I190" s="157">
        <v>1</v>
      </c>
      <c r="J190" s="155">
        <v>100</v>
      </c>
      <c r="K190" s="155"/>
      <c r="L190" s="158">
        <f>F189*H190*I190*J190</f>
        <v>0</v>
      </c>
      <c r="M190" s="1" t="s">
        <v>388</v>
      </c>
      <c r="N190" s="88"/>
    </row>
    <row r="191" spans="2:14">
      <c r="B191" s="17"/>
      <c r="F191" s="159" t="s">
        <v>380</v>
      </c>
      <c r="G191" s="155" t="s">
        <v>383</v>
      </c>
      <c r="H191" s="156">
        <f>DASHBOARD!$D$60</f>
        <v>1.7004999999999999</v>
      </c>
      <c r="I191" s="157">
        <v>1</v>
      </c>
      <c r="J191" s="155">
        <v>100</v>
      </c>
      <c r="K191" s="155"/>
      <c r="L191" s="158">
        <f>F189*H191*I191*J191</f>
        <v>0</v>
      </c>
      <c r="M191" s="1" t="s">
        <v>388</v>
      </c>
      <c r="N191" s="88"/>
    </row>
    <row r="192" spans="2:14">
      <c r="B192" s="17"/>
      <c r="F192" s="154"/>
      <c r="G192" s="155" t="s">
        <v>41</v>
      </c>
      <c r="H192" s="156">
        <f>DASHBOARD!$D$57</f>
        <v>3.95</v>
      </c>
      <c r="I192" s="157">
        <v>1</v>
      </c>
      <c r="J192" s="155">
        <f>I189*J189/2</f>
        <v>4.7619047619047619</v>
      </c>
      <c r="K192" s="155"/>
      <c r="L192" s="158">
        <f>F189*H192*I192*J192</f>
        <v>0</v>
      </c>
      <c r="M192" s="1" t="s">
        <v>385</v>
      </c>
      <c r="N192" s="88"/>
    </row>
    <row r="193" spans="2:14">
      <c r="B193" s="17"/>
      <c r="F193" s="154"/>
      <c r="G193" s="155" t="s">
        <v>384</v>
      </c>
      <c r="H193" s="156">
        <f>DASHBOARD!$D$58</f>
        <v>13.95</v>
      </c>
      <c r="I193" s="157">
        <v>1</v>
      </c>
      <c r="J193" s="155">
        <f>I189*J189/2</f>
        <v>4.7619047619047619</v>
      </c>
      <c r="K193" s="155"/>
      <c r="L193" s="158">
        <f>F189*H193*I193*J193</f>
        <v>0</v>
      </c>
      <c r="M193" s="1" t="s">
        <v>385</v>
      </c>
      <c r="N193" s="88"/>
    </row>
    <row r="194" spans="2:14">
      <c r="B194" s="17"/>
      <c r="F194" s="154"/>
      <c r="G194" s="155" t="s">
        <v>389</v>
      </c>
      <c r="H194" s="156">
        <f>DASHBOARD!$D$71</f>
        <v>2.2799999999999998</v>
      </c>
      <c r="I194" s="157">
        <v>1</v>
      </c>
      <c r="J194" s="155">
        <v>100</v>
      </c>
      <c r="K194" s="155"/>
      <c r="L194" s="158">
        <f>F189*H194*I194*J194</f>
        <v>0</v>
      </c>
      <c r="M194" s="1" t="s">
        <v>390</v>
      </c>
      <c r="N194" s="88" t="s">
        <v>391</v>
      </c>
    </row>
    <row r="195" spans="2:14">
      <c r="B195" s="17"/>
      <c r="F195" s="154"/>
      <c r="G195" s="155" t="s">
        <v>392</v>
      </c>
      <c r="H195" s="156">
        <f>DASHBOARD!$D$72</f>
        <v>0.39</v>
      </c>
      <c r="I195" s="157">
        <v>1</v>
      </c>
      <c r="J195" s="155">
        <v>100</v>
      </c>
      <c r="K195" s="155"/>
      <c r="L195" s="158">
        <f>F189*H195*I195*J195</f>
        <v>0</v>
      </c>
      <c r="M195" s="1" t="s">
        <v>393</v>
      </c>
      <c r="N195" s="88" t="s">
        <v>394</v>
      </c>
    </row>
    <row r="196" spans="2:14" ht="47.25">
      <c r="B196" s="17"/>
      <c r="F196" s="2">
        <f>1-F169</f>
        <v>1</v>
      </c>
      <c r="G196" s="41" t="s">
        <v>14</v>
      </c>
      <c r="H196" s="7">
        <f>DASHBOARD!$D$35</f>
        <v>24.612000000000002</v>
      </c>
      <c r="I196" s="34">
        <v>8</v>
      </c>
      <c r="J196" s="5">
        <f>J197+2</f>
        <v>2.6</v>
      </c>
      <c r="K196" s="11">
        <f>D170*F196*I196*J196</f>
        <v>0</v>
      </c>
      <c r="L196" s="6">
        <f>H196*I196*J196</f>
        <v>511.92960000000005</v>
      </c>
      <c r="M196" s="1" t="s">
        <v>322</v>
      </c>
      <c r="N196" s="83" t="s">
        <v>111</v>
      </c>
    </row>
    <row r="197" spans="2:14">
      <c r="B197" s="17"/>
      <c r="G197" s="41" t="s">
        <v>17</v>
      </c>
      <c r="H197" s="7">
        <f>DASHBOARD!$D$36</f>
        <v>45.12</v>
      </c>
      <c r="I197" s="34">
        <v>8</v>
      </c>
      <c r="J197" s="5">
        <v>0.6</v>
      </c>
      <c r="K197" s="11">
        <f>D170*F196*I197*J197</f>
        <v>0</v>
      </c>
      <c r="L197" s="6">
        <f>H197*I197*J197</f>
        <v>216.57599999999999</v>
      </c>
      <c r="M197" s="1" t="s">
        <v>321</v>
      </c>
      <c r="N197" s="87" t="s">
        <v>112</v>
      </c>
    </row>
    <row r="198" spans="2:14">
      <c r="B198" s="17"/>
      <c r="G198" s="41" t="s">
        <v>6</v>
      </c>
      <c r="H198" s="3">
        <f>DASHBOARD!$D$40</f>
        <v>24.276</v>
      </c>
      <c r="I198" s="34">
        <v>8</v>
      </c>
      <c r="J198" s="5">
        <v>0.6</v>
      </c>
      <c r="K198" s="11">
        <f>D170*F196*I198*J198</f>
        <v>0</v>
      </c>
      <c r="L198" s="6">
        <f t="shared" ref="L198:L200" si="7">H198*I198*J198</f>
        <v>116.5248</v>
      </c>
      <c r="N198" s="87" t="s">
        <v>114</v>
      </c>
    </row>
    <row r="199" spans="2:14">
      <c r="B199" s="17"/>
      <c r="G199" s="41" t="s">
        <v>12</v>
      </c>
      <c r="H199" s="7">
        <f>DASHBOARD!$D$37</f>
        <v>19.8</v>
      </c>
      <c r="I199" s="34">
        <v>8</v>
      </c>
      <c r="J199" s="5">
        <v>0.8</v>
      </c>
      <c r="K199" s="71">
        <f>D170*F196*I199*J199</f>
        <v>0</v>
      </c>
      <c r="L199" s="6">
        <f t="shared" si="7"/>
        <v>126.72000000000001</v>
      </c>
      <c r="M199" s="1" t="s">
        <v>320</v>
      </c>
      <c r="N199" s="87"/>
    </row>
    <row r="200" spans="2:14">
      <c r="B200" s="17"/>
      <c r="G200" s="41" t="s">
        <v>449</v>
      </c>
      <c r="H200" s="7">
        <f>DASHBOARD!$D$46</f>
        <v>54.804000000000002</v>
      </c>
      <c r="I200" s="34">
        <v>8</v>
      </c>
      <c r="J200" s="5">
        <v>0.2</v>
      </c>
      <c r="K200" s="249">
        <f>D170*F196*I200*J200</f>
        <v>0</v>
      </c>
      <c r="L200" s="6">
        <f t="shared" si="7"/>
        <v>87.686400000000006</v>
      </c>
      <c r="M200" s="1" t="s">
        <v>324</v>
      </c>
      <c r="N200" s="87"/>
    </row>
    <row r="201" spans="2:14">
      <c r="B201" s="17"/>
      <c r="G201" s="42" t="s">
        <v>202</v>
      </c>
      <c r="H201" s="3">
        <v>0</v>
      </c>
      <c r="I201" s="32">
        <v>1</v>
      </c>
      <c r="J201" s="11">
        <v>100</v>
      </c>
      <c r="K201" s="71"/>
      <c r="L201" s="6">
        <f>H201*I201*J201</f>
        <v>0</v>
      </c>
      <c r="N201" s="87"/>
    </row>
    <row r="202" spans="2:14">
      <c r="B202" s="17"/>
      <c r="G202" s="41" t="s">
        <v>323</v>
      </c>
      <c r="H202" s="7">
        <f>DASHBOARD!$D$47</f>
        <v>60</v>
      </c>
      <c r="I202" s="34">
        <v>8</v>
      </c>
      <c r="J202" s="5">
        <v>0.2</v>
      </c>
      <c r="K202" s="71">
        <f>D170*F196*I202*J202</f>
        <v>0</v>
      </c>
      <c r="L202" s="6">
        <f t="shared" ref="L202:L210" si="8">H202*I202*J202</f>
        <v>96</v>
      </c>
      <c r="M202" s="1" t="s">
        <v>324</v>
      </c>
      <c r="N202" s="87"/>
    </row>
    <row r="203" spans="2:14">
      <c r="B203" s="17"/>
      <c r="G203" s="41" t="s">
        <v>325</v>
      </c>
      <c r="H203" s="7">
        <f>DASHBOARD!$D$43</f>
        <v>21.599999999999998</v>
      </c>
      <c r="I203" s="34">
        <v>8</v>
      </c>
      <c r="J203" s="5">
        <v>0.8</v>
      </c>
      <c r="K203" s="71">
        <f>D170*F196*I203*J203</f>
        <v>0</v>
      </c>
      <c r="L203" s="6">
        <f t="shared" si="8"/>
        <v>138.23999999999998</v>
      </c>
      <c r="M203" s="1" t="s">
        <v>326</v>
      </c>
      <c r="N203" s="87"/>
    </row>
    <row r="204" spans="2:14">
      <c r="B204" s="17"/>
      <c r="G204" s="5" t="s">
        <v>8</v>
      </c>
      <c r="H204" s="7">
        <f>DASHBOARD!$D$56</f>
        <v>0.16259999999999999</v>
      </c>
      <c r="I204" s="34">
        <v>1</v>
      </c>
      <c r="J204" s="5">
        <f>4*J196</f>
        <v>10.4</v>
      </c>
      <c r="K204" s="5"/>
      <c r="L204" s="6">
        <f t="shared" si="8"/>
        <v>1.6910400000000001</v>
      </c>
      <c r="M204" s="1" t="s">
        <v>121</v>
      </c>
      <c r="N204" s="87" t="s">
        <v>116</v>
      </c>
    </row>
    <row r="205" spans="2:14">
      <c r="B205" s="17"/>
      <c r="G205" s="5" t="s">
        <v>41</v>
      </c>
      <c r="H205" s="7">
        <f>DASHBOARD!$D$57</f>
        <v>3.95</v>
      </c>
      <c r="I205" s="34">
        <v>1</v>
      </c>
      <c r="J205" s="5">
        <f>(4*J197)+(4*J198)+(4*0.6)</f>
        <v>7.1999999999999993</v>
      </c>
      <c r="K205" s="5"/>
      <c r="L205" s="6">
        <f t="shared" si="8"/>
        <v>28.439999999999998</v>
      </c>
      <c r="M205" s="1" t="s">
        <v>122</v>
      </c>
      <c r="N205" s="87" t="s">
        <v>117</v>
      </c>
    </row>
    <row r="206" spans="2:14">
      <c r="B206" s="17"/>
      <c r="G206" s="5" t="s">
        <v>9</v>
      </c>
      <c r="H206" s="7">
        <f>DASHBOARD!$D$58</f>
        <v>13.95</v>
      </c>
      <c r="I206" s="34">
        <v>1</v>
      </c>
      <c r="J206" s="5">
        <f>(4*J197)+(4*J198)+(4*0.6)</f>
        <v>7.1999999999999993</v>
      </c>
      <c r="K206" s="5"/>
      <c r="L206" s="6">
        <f t="shared" si="8"/>
        <v>100.43999999999998</v>
      </c>
      <c r="M206" s="1" t="s">
        <v>122</v>
      </c>
      <c r="N206" s="87" t="s">
        <v>118</v>
      </c>
    </row>
    <row r="207" spans="2:14">
      <c r="B207" s="17"/>
      <c r="G207" s="5" t="s">
        <v>16</v>
      </c>
      <c r="H207" s="7">
        <f>DASHBOARD!$D$59</f>
        <v>0.23960000000000001</v>
      </c>
      <c r="I207" s="34">
        <v>1</v>
      </c>
      <c r="J207" s="5">
        <f>(4*(J196-0.6))+100+100+100</f>
        <v>308</v>
      </c>
      <c r="K207" s="5"/>
      <c r="L207" s="6">
        <f t="shared" si="8"/>
        <v>73.796800000000005</v>
      </c>
      <c r="M207" s="1" t="s">
        <v>123</v>
      </c>
      <c r="N207" s="87" t="s">
        <v>119</v>
      </c>
    </row>
    <row r="208" spans="2:14">
      <c r="B208" s="17"/>
      <c r="G208" s="5" t="s">
        <v>10</v>
      </c>
      <c r="H208" s="7">
        <f>DASHBOARD!$D$60</f>
        <v>1.7004999999999999</v>
      </c>
      <c r="I208" s="34">
        <v>1</v>
      </c>
      <c r="J208" s="5">
        <f>100+100+100</f>
        <v>300</v>
      </c>
      <c r="K208" s="5"/>
      <c r="L208" s="6">
        <f t="shared" si="8"/>
        <v>510.15</v>
      </c>
      <c r="M208" s="1" t="s">
        <v>124</v>
      </c>
      <c r="N208" s="87" t="s">
        <v>119</v>
      </c>
    </row>
    <row r="209" spans="2:14">
      <c r="B209" s="17"/>
      <c r="G209" s="5" t="s">
        <v>144</v>
      </c>
      <c r="H209" s="7">
        <f>DASHBOARD!$D$61</f>
        <v>3.32</v>
      </c>
      <c r="I209" s="34">
        <v>1</v>
      </c>
      <c r="J209" s="5">
        <v>100</v>
      </c>
      <c r="K209" s="5"/>
      <c r="L209" s="6">
        <f t="shared" si="8"/>
        <v>332</v>
      </c>
      <c r="M209" s="1" t="s">
        <v>145</v>
      </c>
      <c r="N209" s="89" t="s">
        <v>147</v>
      </c>
    </row>
    <row r="210" spans="2:14">
      <c r="B210" s="17"/>
      <c r="G210" s="5" t="s">
        <v>11</v>
      </c>
      <c r="H210" s="7">
        <f>DASHBOARD!$D$62</f>
        <v>0.72</v>
      </c>
      <c r="I210" s="34">
        <v>1</v>
      </c>
      <c r="J210" s="5">
        <f>100</f>
        <v>100</v>
      </c>
      <c r="K210" s="5"/>
      <c r="L210" s="6">
        <f t="shared" si="8"/>
        <v>72</v>
      </c>
      <c r="M210" s="1" t="s">
        <v>146</v>
      </c>
      <c r="N210" s="89" t="s">
        <v>148</v>
      </c>
    </row>
    <row r="211" spans="2:14">
      <c r="B211" s="17"/>
      <c r="F211" s="119">
        <f>DASHBOARD!$D$110</f>
        <v>0</v>
      </c>
      <c r="G211" s="120" t="s">
        <v>17</v>
      </c>
      <c r="H211" s="121">
        <f>DASHBOARD!$D$36</f>
        <v>45.12</v>
      </c>
      <c r="I211" s="122">
        <v>8</v>
      </c>
      <c r="J211" s="120">
        <f>0.625*F211*(8/7)</f>
        <v>0</v>
      </c>
      <c r="K211" s="120"/>
      <c r="L211" s="123">
        <f>F211*H211*I211*J211</f>
        <v>0</v>
      </c>
      <c r="M211" s="1" t="s">
        <v>287</v>
      </c>
      <c r="N211" s="89"/>
    </row>
    <row r="212" spans="2:14">
      <c r="B212" s="17"/>
      <c r="F212" s="124" t="s">
        <v>281</v>
      </c>
      <c r="G212" s="120" t="s">
        <v>6</v>
      </c>
      <c r="H212" s="121">
        <f>DASHBOARD!$D$40</f>
        <v>24.276</v>
      </c>
      <c r="I212" s="122">
        <v>8</v>
      </c>
      <c r="J212" s="120">
        <f>0.625*(8/7)</f>
        <v>0.71428571428571419</v>
      </c>
      <c r="K212" s="120"/>
      <c r="L212" s="123">
        <f>F211*H212*I212*J212</f>
        <v>0</v>
      </c>
      <c r="M212" s="1" t="s">
        <v>287</v>
      </c>
      <c r="N212" s="89"/>
    </row>
    <row r="213" spans="2:14">
      <c r="B213" s="17"/>
      <c r="F213" s="124"/>
      <c r="G213" s="120" t="s">
        <v>291</v>
      </c>
      <c r="H213" s="121">
        <f>DASHBOARD!$D$59</f>
        <v>0.23960000000000001</v>
      </c>
      <c r="I213" s="122">
        <v>1</v>
      </c>
      <c r="J213" s="120">
        <v>0</v>
      </c>
      <c r="K213" s="120"/>
      <c r="L213" s="123">
        <f>F211*H213*I213*J213</f>
        <v>0</v>
      </c>
      <c r="N213" s="89"/>
    </row>
    <row r="214" spans="2:14">
      <c r="B214" s="17"/>
      <c r="F214" s="119"/>
      <c r="G214" s="120" t="s">
        <v>284</v>
      </c>
      <c r="H214" s="121">
        <v>10</v>
      </c>
      <c r="I214" s="122">
        <v>1</v>
      </c>
      <c r="J214" s="120">
        <v>100</v>
      </c>
      <c r="K214" s="120"/>
      <c r="L214" s="123">
        <f>F211*H214*I214*J214</f>
        <v>0</v>
      </c>
      <c r="M214" s="1" t="s">
        <v>290</v>
      </c>
      <c r="N214" s="89"/>
    </row>
    <row r="215" spans="2:14">
      <c r="B215" s="17"/>
      <c r="F215" s="119"/>
      <c r="G215" s="120" t="s">
        <v>283</v>
      </c>
      <c r="H215" s="121">
        <v>0.84</v>
      </c>
      <c r="I215" s="122">
        <v>1</v>
      </c>
      <c r="J215" s="120">
        <v>100</v>
      </c>
      <c r="K215" s="120"/>
      <c r="L215" s="123">
        <f>F211*H215*I215*J215</f>
        <v>0</v>
      </c>
      <c r="M215" s="1" t="s">
        <v>288</v>
      </c>
      <c r="N215" s="88" t="s">
        <v>289</v>
      </c>
    </row>
    <row r="216" spans="2:14">
      <c r="B216" s="17"/>
      <c r="F216" s="154">
        <f>DASHBOARD!$D$112</f>
        <v>0</v>
      </c>
      <c r="G216" s="155" t="s">
        <v>386</v>
      </c>
      <c r="H216" s="156">
        <f>DASHBOARD!$D$42</f>
        <v>30</v>
      </c>
      <c r="I216" s="157">
        <v>8</v>
      </c>
      <c r="J216" s="155">
        <f>((DASHBOARD!$D$113*100)/480)*(8/7)</f>
        <v>1.1904761904761905</v>
      </c>
      <c r="K216" s="155">
        <f>D171*F196*F216*I216*J216</f>
        <v>0</v>
      </c>
      <c r="L216" s="158">
        <f>F216*H216*I216*J216</f>
        <v>0</v>
      </c>
      <c r="M216" s="1" t="s">
        <v>460</v>
      </c>
      <c r="N216" s="88" t="s">
        <v>387</v>
      </c>
    </row>
    <row r="217" spans="2:14">
      <c r="B217" s="17"/>
      <c r="F217" s="159" t="s">
        <v>281</v>
      </c>
      <c r="G217" s="155" t="s">
        <v>382</v>
      </c>
      <c r="H217" s="156">
        <f>DASHBOARD!$D$59</f>
        <v>0.23960000000000001</v>
      </c>
      <c r="I217" s="157">
        <v>1</v>
      </c>
      <c r="J217" s="155">
        <v>100</v>
      </c>
      <c r="K217" s="155"/>
      <c r="L217" s="158">
        <f>F216*H217*I217*J217</f>
        <v>0</v>
      </c>
      <c r="M217" s="1" t="s">
        <v>388</v>
      </c>
      <c r="N217" s="88"/>
    </row>
    <row r="218" spans="2:14">
      <c r="B218" s="17"/>
      <c r="F218" s="159" t="s">
        <v>380</v>
      </c>
      <c r="G218" s="155" t="s">
        <v>383</v>
      </c>
      <c r="H218" s="156">
        <f>DASHBOARD!$D$60</f>
        <v>1.7004999999999999</v>
      </c>
      <c r="I218" s="157">
        <v>1</v>
      </c>
      <c r="J218" s="155">
        <v>100</v>
      </c>
      <c r="K218" s="155"/>
      <c r="L218" s="158">
        <f>F216*H218*I218*J218</f>
        <v>0</v>
      </c>
      <c r="M218" s="1" t="s">
        <v>388</v>
      </c>
      <c r="N218" s="88"/>
    </row>
    <row r="219" spans="2:14">
      <c r="B219" s="17"/>
      <c r="F219" s="154"/>
      <c r="G219" s="155" t="s">
        <v>41</v>
      </c>
      <c r="H219" s="156">
        <f>DASHBOARD!$D$57</f>
        <v>3.95</v>
      </c>
      <c r="I219" s="157">
        <v>1</v>
      </c>
      <c r="J219" s="155">
        <f>I216*J216/2</f>
        <v>4.7619047619047619</v>
      </c>
      <c r="K219" s="155"/>
      <c r="L219" s="158">
        <f>F216*H219*I219*J219</f>
        <v>0</v>
      </c>
      <c r="M219" s="1" t="s">
        <v>385</v>
      </c>
      <c r="N219" s="88"/>
    </row>
    <row r="220" spans="2:14">
      <c r="B220" s="17"/>
      <c r="F220" s="154"/>
      <c r="G220" s="155" t="s">
        <v>384</v>
      </c>
      <c r="H220" s="156">
        <f>DASHBOARD!$D$58</f>
        <v>13.95</v>
      </c>
      <c r="I220" s="157">
        <v>1</v>
      </c>
      <c r="J220" s="155">
        <f>I216*J216/2</f>
        <v>4.7619047619047619</v>
      </c>
      <c r="K220" s="155"/>
      <c r="L220" s="158">
        <f>F216*H220*I220*J220</f>
        <v>0</v>
      </c>
      <c r="M220" s="1" t="s">
        <v>385</v>
      </c>
      <c r="N220" s="88"/>
    </row>
    <row r="221" spans="2:14">
      <c r="B221" s="17"/>
      <c r="F221" s="154"/>
      <c r="G221" s="155" t="s">
        <v>389</v>
      </c>
      <c r="H221" s="156">
        <f>DASHBOARD!$D$71</f>
        <v>2.2799999999999998</v>
      </c>
      <c r="I221" s="157">
        <v>1</v>
      </c>
      <c r="J221" s="155">
        <v>100</v>
      </c>
      <c r="K221" s="155"/>
      <c r="L221" s="158">
        <f>F216*H221*I221*J221</f>
        <v>0</v>
      </c>
      <c r="M221" s="1" t="s">
        <v>390</v>
      </c>
      <c r="N221" s="88" t="s">
        <v>391</v>
      </c>
    </row>
    <row r="222" spans="2:14">
      <c r="B222" s="17"/>
      <c r="F222" s="154"/>
      <c r="G222" s="155" t="s">
        <v>392</v>
      </c>
      <c r="H222" s="156">
        <f>DASHBOARD!$D$72</f>
        <v>0.39</v>
      </c>
      <c r="I222" s="157">
        <v>1</v>
      </c>
      <c r="J222" s="155">
        <v>100</v>
      </c>
      <c r="K222" s="155"/>
      <c r="L222" s="158">
        <f>F216*H222*I222*J222</f>
        <v>0</v>
      </c>
      <c r="M222" s="1" t="s">
        <v>393</v>
      </c>
      <c r="N222" s="88" t="s">
        <v>394</v>
      </c>
    </row>
    <row r="223" spans="2:14" ht="20.100000000000001" customHeight="1" thickBot="1">
      <c r="B223" s="9" t="s">
        <v>7</v>
      </c>
      <c r="C223" s="10"/>
      <c r="D223" s="14"/>
      <c r="E223" s="20"/>
      <c r="F223" s="14"/>
      <c r="G223" s="10"/>
      <c r="H223" s="549" t="s">
        <v>81</v>
      </c>
      <c r="I223" s="549"/>
      <c r="J223" s="549"/>
      <c r="K223" s="243"/>
      <c r="L223" s="70">
        <f>(D23*F23*SUM(L23:L46))+(D23*F47*SUM(L47:L70))+(D23*F71*SUM(L71:L93))+(D23*F94*SUM(L94:L116))+(D117*F117*SUM(L117:L142))+(D117*F143*SUM(L143:L168))+(D169*F169*SUM(L169:L195))+(D169*F196*SUM(L196:L222))</f>
        <v>10230.358961123044</v>
      </c>
      <c r="M223" s="69" t="str">
        <f>"Per Person Cost is "&amp;ROUND(L223/100,2)&amp;" and the cost per "&amp;$C$4&amp;" people is "&amp;ROUND(L223/100*$C$4,2)</f>
        <v>Per Person Cost is 102.3 and the cost per 113360 people is 11597134.92</v>
      </c>
    </row>
    <row r="224" spans="2:14" ht="50.25" customHeight="1">
      <c r="B224" s="22" t="s">
        <v>18</v>
      </c>
      <c r="C224" s="26">
        <f>C4</f>
        <v>113360</v>
      </c>
      <c r="D224" s="2">
        <f>1*DASHBOARD!$D$139</f>
        <v>1</v>
      </c>
      <c r="E224" s="21">
        <v>1</v>
      </c>
      <c r="F224" s="92">
        <f>0</f>
        <v>0</v>
      </c>
      <c r="G224" s="72" t="s">
        <v>192</v>
      </c>
      <c r="H224" s="7">
        <v>0</v>
      </c>
      <c r="I224" s="32">
        <v>0</v>
      </c>
      <c r="J224" s="1">
        <v>0</v>
      </c>
      <c r="L224" s="4">
        <f>H224*I224*J224</f>
        <v>0</v>
      </c>
      <c r="M224" s="1" t="s">
        <v>193</v>
      </c>
    </row>
    <row r="225" spans="2:14" ht="18" customHeight="1">
      <c r="B225" s="22" t="s">
        <v>189</v>
      </c>
      <c r="E225" s="21">
        <v>2</v>
      </c>
      <c r="F225" s="92">
        <f>1-F224-F232</f>
        <v>0.90225087924800718</v>
      </c>
      <c r="G225" s="42" t="s">
        <v>21</v>
      </c>
      <c r="H225" s="3">
        <f>DASHBOARD!D41</f>
        <v>26.004000000000001</v>
      </c>
      <c r="I225" s="11">
        <f>F226*C11*((36+((ROUNDUP((C224*F225)/(C11*F226)/50,0))*DASHBOARD!$D$132))/60)*(8/7)</f>
        <v>840.66745946512276</v>
      </c>
      <c r="J225" s="11">
        <f>1/(C224*D224*F225/100)</f>
        <v>9.7771628473607825E-4</v>
      </c>
      <c r="K225" s="11">
        <f>F225*I225*J225</f>
        <v>0.74159091343077166</v>
      </c>
      <c r="L225" s="4">
        <f>H225*I225*J225</f>
        <v>21.373578631396363</v>
      </c>
      <c r="M225" s="1" t="s">
        <v>156</v>
      </c>
      <c r="N225" s="87" t="s">
        <v>128</v>
      </c>
    </row>
    <row r="226" spans="2:14" ht="17.100000000000001" customHeight="1">
      <c r="B226" s="22" t="s">
        <v>190</v>
      </c>
      <c r="E226" s="21" t="s">
        <v>155</v>
      </c>
      <c r="F226" s="2">
        <v>1</v>
      </c>
      <c r="G226" s="1" t="s">
        <v>22</v>
      </c>
      <c r="H226" s="3">
        <f>DASHBOARD!D64</f>
        <v>7.242172727E-2</v>
      </c>
      <c r="I226" s="32">
        <v>1</v>
      </c>
      <c r="J226" s="11">
        <f>C11*32.8*F226*J225</f>
        <v>37.246600121504123</v>
      </c>
      <c r="K226" s="11"/>
      <c r="L226" s="4">
        <f t="shared" ref="L226:L228" si="9">H226*I226*J226</f>
        <v>2.6974631157343203</v>
      </c>
      <c r="M226" s="1" t="s">
        <v>157</v>
      </c>
      <c r="N226" s="87" t="s">
        <v>129</v>
      </c>
    </row>
    <row r="227" spans="2:14" ht="17.100000000000001" customHeight="1">
      <c r="B227" s="22" t="s">
        <v>191</v>
      </c>
      <c r="G227" s="1" t="s">
        <v>158</v>
      </c>
      <c r="H227" s="3">
        <f>DASHBOARD!D65</f>
        <v>42.91</v>
      </c>
      <c r="I227" s="32">
        <f>I225/8</f>
        <v>105.08343243314035</v>
      </c>
      <c r="J227" s="11">
        <f>1/(F225*C224/100)</f>
        <v>9.7771628473607825E-4</v>
      </c>
      <c r="K227" s="11"/>
      <c r="L227" s="4">
        <f>H227*I227*J227</f>
        <v>4.408649914788195</v>
      </c>
      <c r="M227" s="1" t="s">
        <v>194</v>
      </c>
      <c r="N227" s="87"/>
    </row>
    <row r="228" spans="2:14">
      <c r="B228" s="22"/>
      <c r="G228" s="1" t="s">
        <v>23</v>
      </c>
      <c r="H228" s="3">
        <f>DASHBOARD!D66</f>
        <v>0.18703</v>
      </c>
      <c r="I228" s="26">
        <v>1</v>
      </c>
      <c r="J228" s="55">
        <v>100</v>
      </c>
      <c r="K228" s="55"/>
      <c r="L228" s="4">
        <f t="shared" si="9"/>
        <v>18.702999999999999</v>
      </c>
      <c r="N228" s="87" t="s">
        <v>132</v>
      </c>
    </row>
    <row r="229" spans="2:14">
      <c r="B229" s="22"/>
      <c r="G229" s="1" t="s">
        <v>24</v>
      </c>
      <c r="H229" s="3">
        <f>DASHBOARD!D67</f>
        <v>1.274775</v>
      </c>
      <c r="I229" s="12">
        <v>1</v>
      </c>
      <c r="J229" s="55">
        <v>2</v>
      </c>
      <c r="K229" s="55"/>
      <c r="L229" s="4">
        <f>H229*I229*J229</f>
        <v>2.54955</v>
      </c>
      <c r="M229" s="1" t="s">
        <v>47</v>
      </c>
      <c r="N229" s="88" t="s">
        <v>131</v>
      </c>
    </row>
    <row r="230" spans="2:14" ht="18" customHeight="1">
      <c r="B230" s="22"/>
      <c r="F230" s="134">
        <f>IF(OR(DASHBOARD!$D$111,DASHBOARD!$D$112=1),1,0)</f>
        <v>0</v>
      </c>
      <c r="G230" s="24" t="s">
        <v>418</v>
      </c>
      <c r="H230" s="165">
        <f>DASHBOARD!$D$66</f>
        <v>0.18703</v>
      </c>
      <c r="I230" s="166">
        <v>1</v>
      </c>
      <c r="J230" s="167">
        <v>100</v>
      </c>
      <c r="K230" s="167"/>
      <c r="L230" s="168">
        <f>F230*H230*I230*J230</f>
        <v>0</v>
      </c>
      <c r="N230" s="87" t="s">
        <v>132</v>
      </c>
    </row>
    <row r="231" spans="2:14" ht="18" customHeight="1">
      <c r="B231" s="22"/>
      <c r="F231" s="135" t="s">
        <v>281</v>
      </c>
      <c r="G231" s="24" t="s">
        <v>419</v>
      </c>
      <c r="H231" s="165">
        <f>DASHBOARD!$D$67</f>
        <v>1.274775</v>
      </c>
      <c r="I231" s="169">
        <v>1</v>
      </c>
      <c r="J231" s="167">
        <v>2</v>
      </c>
      <c r="K231" s="167"/>
      <c r="L231" s="168">
        <f>F230*H231*I231*J231</f>
        <v>0</v>
      </c>
      <c r="M231" s="1" t="s">
        <v>47</v>
      </c>
      <c r="N231" s="88" t="s">
        <v>131</v>
      </c>
    </row>
    <row r="232" spans="2:14" ht="21" customHeight="1">
      <c r="B232" s="22"/>
      <c r="C232" s="26"/>
      <c r="E232" s="21">
        <v>3</v>
      </c>
      <c r="F232" s="92">
        <f>1-D23</f>
        <v>9.7749120751992824E-2</v>
      </c>
      <c r="G232" s="42" t="s">
        <v>21</v>
      </c>
      <c r="H232" s="3">
        <f>DASHBOARD!D41</f>
        <v>26.004000000000001</v>
      </c>
      <c r="I232" s="32">
        <f>IF(C1=0,0,C13*F233*((36+((ROUNDUP((D233*D224)/(C13*F233)/50,0))*DASHBOARD!$D$132))/60)*(8/7))</f>
        <v>0</v>
      </c>
      <c r="J232" s="55">
        <f>1/(F233*D233/100)</f>
        <v>6.6666666666666671E-3</v>
      </c>
      <c r="K232" s="55">
        <f>F232*I232*J232</f>
        <v>0</v>
      </c>
      <c r="L232" s="4">
        <f>H232*I232*J232</f>
        <v>0</v>
      </c>
      <c r="M232" s="1" t="s">
        <v>167</v>
      </c>
      <c r="N232" s="87" t="s">
        <v>128</v>
      </c>
    </row>
    <row r="233" spans="2:14" ht="30.75" customHeight="1">
      <c r="B233" s="22"/>
      <c r="D233" s="2">
        <f>DASHBOARD!$D$120</f>
        <v>7500</v>
      </c>
      <c r="E233" s="21" t="s">
        <v>154</v>
      </c>
      <c r="F233" s="2">
        <v>2</v>
      </c>
      <c r="G233" s="1" t="s">
        <v>22</v>
      </c>
      <c r="H233" s="3">
        <f>DASHBOARD!D64</f>
        <v>7.242172727E-2</v>
      </c>
      <c r="I233" s="32">
        <v>1</v>
      </c>
      <c r="J233" s="55">
        <f>C13*32.8*F233*J232</f>
        <v>197.04120519335376</v>
      </c>
      <c r="K233" s="55"/>
      <c r="L233" s="4">
        <f>H233*I233*J233</f>
        <v>14.270064423465174</v>
      </c>
      <c r="M233" s="1" t="s">
        <v>168</v>
      </c>
      <c r="N233" s="87" t="s">
        <v>129</v>
      </c>
    </row>
    <row r="234" spans="2:14" ht="47.1" customHeight="1">
      <c r="B234" s="22"/>
      <c r="D234" s="97"/>
      <c r="G234" s="1" t="s">
        <v>158</v>
      </c>
      <c r="H234" s="3">
        <f>DASHBOARD!D65</f>
        <v>42.91</v>
      </c>
      <c r="I234" s="32">
        <f>I232/8</f>
        <v>0</v>
      </c>
      <c r="J234" s="55">
        <f>1/(D233/100)</f>
        <v>1.3333333333333334E-2</v>
      </c>
      <c r="K234" s="55"/>
      <c r="L234" s="4">
        <f>H234*I234*J234</f>
        <v>0</v>
      </c>
      <c r="M234" s="1" t="s">
        <v>160</v>
      </c>
      <c r="N234" s="87"/>
    </row>
    <row r="235" spans="2:14">
      <c r="B235" s="22"/>
      <c r="G235" s="1" t="s">
        <v>23</v>
      </c>
      <c r="H235" s="3">
        <f>DASHBOARD!D66</f>
        <v>0.18703</v>
      </c>
      <c r="I235" s="26">
        <v>1</v>
      </c>
      <c r="J235" s="55">
        <v>100</v>
      </c>
      <c r="K235" s="55"/>
      <c r="L235" s="4">
        <f t="shared" ref="L235:L236" si="10">H235*I235*J235</f>
        <v>18.702999999999999</v>
      </c>
      <c r="N235" s="87" t="s">
        <v>132</v>
      </c>
    </row>
    <row r="236" spans="2:14">
      <c r="B236" s="22"/>
      <c r="G236" s="1" t="s">
        <v>24</v>
      </c>
      <c r="H236" s="3">
        <f>DASHBOARD!D67</f>
        <v>1.274775</v>
      </c>
      <c r="I236" s="12">
        <v>1</v>
      </c>
      <c r="J236" s="11">
        <v>2</v>
      </c>
      <c r="K236" s="11"/>
      <c r="L236" s="4">
        <f t="shared" si="10"/>
        <v>2.54955</v>
      </c>
      <c r="M236" s="1" t="s">
        <v>47</v>
      </c>
      <c r="N236" s="88" t="s">
        <v>131</v>
      </c>
    </row>
    <row r="237" spans="2:14" ht="18" customHeight="1">
      <c r="B237" s="22"/>
      <c r="F237" s="134">
        <f>IF(OR(DASHBOARD!$D$111,DASHBOARD!$D$112=1),1,0)</f>
        <v>0</v>
      </c>
      <c r="G237" s="24" t="s">
        <v>418</v>
      </c>
      <c r="H237" s="165">
        <f>DASHBOARD!$D$66</f>
        <v>0.18703</v>
      </c>
      <c r="I237" s="166">
        <v>1</v>
      </c>
      <c r="J237" s="167">
        <v>100</v>
      </c>
      <c r="K237" s="167"/>
      <c r="L237" s="168">
        <f>F237*H237*I237*J237</f>
        <v>0</v>
      </c>
      <c r="N237" s="87" t="s">
        <v>132</v>
      </c>
    </row>
    <row r="238" spans="2:14" ht="18" customHeight="1">
      <c r="B238" s="22"/>
      <c r="F238" s="135" t="s">
        <v>281</v>
      </c>
      <c r="G238" s="24" t="s">
        <v>419</v>
      </c>
      <c r="H238" s="165">
        <f>DASHBOARD!$D$67</f>
        <v>1.274775</v>
      </c>
      <c r="I238" s="169">
        <v>1</v>
      </c>
      <c r="J238" s="167">
        <v>2</v>
      </c>
      <c r="K238" s="167"/>
      <c r="L238" s="168">
        <f>F237*H238*I238*J238</f>
        <v>0</v>
      </c>
      <c r="M238" s="1" t="s">
        <v>47</v>
      </c>
      <c r="N238" s="88" t="s">
        <v>131</v>
      </c>
    </row>
    <row r="239" spans="2:14" ht="21" customHeight="1" thickBot="1">
      <c r="B239" s="9" t="s">
        <v>7</v>
      </c>
      <c r="C239" s="10"/>
      <c r="D239" s="14"/>
      <c r="E239" s="20"/>
      <c r="F239" s="14"/>
      <c r="G239" s="10"/>
      <c r="H239" s="549" t="s">
        <v>81</v>
      </c>
      <c r="I239" s="549"/>
      <c r="J239" s="549"/>
      <c r="K239" s="243"/>
      <c r="L239" s="70">
        <f>D224*(SUM(L225:L231)*F225+SUM(L232:L238)*F232+SUM(L224)*F224)</f>
        <v>48.343263093146462</v>
      </c>
      <c r="M239" s="69" t="str">
        <f>"Per Person Cost is "&amp;ROUND(L239/100,2)&amp;" and the cost per "&amp;$C$4&amp;" people is "&amp;ROUND(L239/100*$C$4,2)</f>
        <v>Per Person Cost is 0.48 and the cost per 113360 people is 54801.92</v>
      </c>
    </row>
    <row r="240" spans="2:14" ht="21" customHeight="1">
      <c r="B240" s="23" t="s">
        <v>25</v>
      </c>
      <c r="C240" s="26">
        <f>C4</f>
        <v>113360</v>
      </c>
      <c r="D240" s="134">
        <f>(1-DASHBOARD!$D$135)*DASHBOARD!$D$139</f>
        <v>1</v>
      </c>
      <c r="E240" s="21" t="s">
        <v>337</v>
      </c>
      <c r="F240" s="2">
        <f>1-F254</f>
        <v>0.99877000000000005</v>
      </c>
      <c r="G240" s="42" t="s">
        <v>14</v>
      </c>
      <c r="H240" s="3">
        <f>DASHBOARD!D35</f>
        <v>24.612000000000002</v>
      </c>
      <c r="I240" s="1">
        <f>DASHBOARD!D150*(100/60)*(8/7)</f>
        <v>7.6190476190476186</v>
      </c>
      <c r="J240" s="1">
        <v>1</v>
      </c>
      <c r="K240" s="53">
        <f>D240*F240*I240*J240</f>
        <v>7.6096761904761907</v>
      </c>
      <c r="L240" s="4">
        <f>H240*I240*J240</f>
        <v>187.52</v>
      </c>
      <c r="M240" s="1" t="s">
        <v>50</v>
      </c>
      <c r="N240" s="87" t="s">
        <v>133</v>
      </c>
    </row>
    <row r="241" spans="2:14">
      <c r="B241" s="23"/>
      <c r="D241" s="135" t="s">
        <v>329</v>
      </c>
      <c r="G241" s="42" t="s">
        <v>31</v>
      </c>
      <c r="H241" s="3">
        <f>DASHBOARD!D44</f>
        <v>48</v>
      </c>
      <c r="I241" s="11">
        <f>SUM(I245:I247)*(1/100)</f>
        <v>0.11958095238095236</v>
      </c>
      <c r="J241" s="1">
        <v>1</v>
      </c>
      <c r="K241" s="53">
        <f>D240*F240*I241*J241</f>
        <v>0.11943386780952379</v>
      </c>
      <c r="L241" s="4">
        <f t="shared" ref="L241:L267" si="11">H241*I241*J241</f>
        <v>5.7398857142857134</v>
      </c>
      <c r="M241" s="1" t="s">
        <v>136</v>
      </c>
      <c r="N241" s="87" t="s">
        <v>115</v>
      </c>
    </row>
    <row r="242" spans="2:14">
      <c r="B242" s="23" t="s">
        <v>348</v>
      </c>
      <c r="D242" s="134"/>
      <c r="G242" s="42" t="s">
        <v>32</v>
      </c>
      <c r="H242" s="3">
        <f>DASHBOARD!D49</f>
        <v>58.847999999999999</v>
      </c>
      <c r="I242" s="11">
        <f>SUM(I245:I247)*(1/10)</f>
        <v>1.1958095238095237</v>
      </c>
      <c r="J242" s="1">
        <v>1</v>
      </c>
      <c r="K242" s="53">
        <f>D240*F240*I242*J242</f>
        <v>1.1943386780952381</v>
      </c>
      <c r="L242" s="4">
        <f t="shared" si="11"/>
        <v>70.370998857142851</v>
      </c>
      <c r="M242" s="1" t="s">
        <v>137</v>
      </c>
      <c r="N242" s="87" t="s">
        <v>134</v>
      </c>
    </row>
    <row r="243" spans="2:14">
      <c r="B243" s="23" t="s">
        <v>349</v>
      </c>
      <c r="D243" s="134"/>
      <c r="G243" s="42" t="s">
        <v>33</v>
      </c>
      <c r="H243" s="3">
        <f>DASHBOARD!D50</f>
        <v>39</v>
      </c>
      <c r="I243" s="11">
        <f>SUM(I245:I247)*(1/33)</f>
        <v>0.36236652236652234</v>
      </c>
      <c r="J243" s="1">
        <v>1</v>
      </c>
      <c r="K243" s="53">
        <f>D240*F240*I243*J243</f>
        <v>0.36192081154401151</v>
      </c>
      <c r="L243" s="4">
        <f t="shared" si="11"/>
        <v>14.132294372294371</v>
      </c>
      <c r="M243" s="1" t="s">
        <v>138</v>
      </c>
      <c r="N243" s="87" t="s">
        <v>115</v>
      </c>
    </row>
    <row r="244" spans="2:14">
      <c r="B244" s="23" t="s">
        <v>350</v>
      </c>
      <c r="D244" s="134"/>
      <c r="G244" s="42" t="s">
        <v>34</v>
      </c>
      <c r="H244" s="3">
        <f>DASHBOARD!D51</f>
        <v>43.199999999999996</v>
      </c>
      <c r="I244" s="1">
        <f>SUM(I245:I247)*(1/100)</f>
        <v>0.11958095238095236</v>
      </c>
      <c r="J244" s="1">
        <v>1</v>
      </c>
      <c r="K244" s="53">
        <f>D240*F240*I244*J244</f>
        <v>0.11943386780952379</v>
      </c>
      <c r="L244" s="4">
        <f t="shared" si="11"/>
        <v>5.1658971428571414</v>
      </c>
      <c r="M244" s="1" t="s">
        <v>136</v>
      </c>
      <c r="N244" s="87" t="s">
        <v>135</v>
      </c>
    </row>
    <row r="245" spans="2:14">
      <c r="B245" s="23"/>
      <c r="D245" s="134"/>
      <c r="F245" s="2" t="s">
        <v>451</v>
      </c>
      <c r="G245" s="42" t="s">
        <v>27</v>
      </c>
      <c r="H245" s="3">
        <f>DASHBOARD!D39</f>
        <v>30</v>
      </c>
      <c r="I245" s="1">
        <f>5*(8/7)</f>
        <v>5.7142857142857135</v>
      </c>
      <c r="J245" s="1">
        <v>1</v>
      </c>
      <c r="K245" s="53">
        <f>D240*F240*I245*J245</f>
        <v>5.7072571428571424</v>
      </c>
      <c r="L245" s="4">
        <f t="shared" si="11"/>
        <v>171.42857142857142</v>
      </c>
      <c r="M245" s="1" t="s">
        <v>48</v>
      </c>
      <c r="N245" s="87" t="s">
        <v>115</v>
      </c>
    </row>
    <row r="246" spans="2:14" ht="15" customHeight="1">
      <c r="B246" s="23"/>
      <c r="D246" s="134"/>
      <c r="F246" s="2" t="s">
        <v>452</v>
      </c>
      <c r="G246" s="42" t="s">
        <v>27</v>
      </c>
      <c r="H246" s="3">
        <f>DASHBOARD!D39</f>
        <v>30</v>
      </c>
      <c r="I246" s="1">
        <f>2.13*(8/7)</f>
        <v>2.4342857142857142</v>
      </c>
      <c r="J246" s="1">
        <v>1</v>
      </c>
      <c r="K246" s="53">
        <f>D240*F240*I246*J246</f>
        <v>2.4312915428571427</v>
      </c>
      <c r="L246" s="4">
        <f t="shared" si="11"/>
        <v>73.028571428571425</v>
      </c>
      <c r="M246" s="1" t="s">
        <v>49</v>
      </c>
      <c r="N246" s="87" t="s">
        <v>115</v>
      </c>
    </row>
    <row r="247" spans="2:14">
      <c r="B247" s="23"/>
      <c r="D247" s="134"/>
      <c r="F247" s="2" t="s">
        <v>453</v>
      </c>
      <c r="G247" s="66" t="s">
        <v>27</v>
      </c>
      <c r="H247" s="3">
        <f>DASHBOARD!D39</f>
        <v>30</v>
      </c>
      <c r="I247" s="1">
        <f>(DASHBOARD!D154*100)/60*(8/7)</f>
        <v>3.8095238095238093</v>
      </c>
      <c r="J247" s="1">
        <v>1</v>
      </c>
      <c r="K247" s="53">
        <f>D240*F240*I247*J247</f>
        <v>3.8048380952380954</v>
      </c>
      <c r="L247" s="4">
        <f t="shared" si="11"/>
        <v>114.28571428571428</v>
      </c>
      <c r="M247" s="27" t="s">
        <v>77</v>
      </c>
      <c r="N247" s="87" t="s">
        <v>115</v>
      </c>
    </row>
    <row r="248" spans="2:14">
      <c r="B248" s="23"/>
      <c r="D248" s="134"/>
      <c r="G248" s="1" t="s">
        <v>41</v>
      </c>
      <c r="H248" s="3">
        <f>DASHBOARD!D57</f>
        <v>3.95</v>
      </c>
      <c r="I248" s="1">
        <v>1</v>
      </c>
      <c r="J248" s="53">
        <f>2*SUM(I245:I247)/8</f>
        <v>2.989523809523809</v>
      </c>
      <c r="K248" s="53"/>
      <c r="L248" s="4">
        <f t="shared" si="11"/>
        <v>11.808619047619047</v>
      </c>
      <c r="M248" s="1" t="s">
        <v>139</v>
      </c>
      <c r="N248" s="87" t="s">
        <v>117</v>
      </c>
    </row>
    <row r="249" spans="2:14">
      <c r="B249" s="23"/>
      <c r="D249" s="134"/>
      <c r="G249" s="1" t="s">
        <v>9</v>
      </c>
      <c r="H249" s="3">
        <f>DASHBOARD!D58</f>
        <v>13.95</v>
      </c>
      <c r="I249" s="1">
        <v>1</v>
      </c>
      <c r="J249" s="53">
        <f>2*SUM(I245:I247)/8</f>
        <v>2.989523809523809</v>
      </c>
      <c r="K249" s="53"/>
      <c r="L249" s="4">
        <f t="shared" si="11"/>
        <v>41.703857142857132</v>
      </c>
      <c r="M249" s="1" t="s">
        <v>139</v>
      </c>
      <c r="N249" s="87" t="s">
        <v>118</v>
      </c>
    </row>
    <row r="250" spans="2:14">
      <c r="B250" s="23"/>
      <c r="D250" s="134"/>
      <c r="G250" s="1" t="s">
        <v>16</v>
      </c>
      <c r="H250" s="3">
        <f>DASHBOARD!D59</f>
        <v>0.23960000000000001</v>
      </c>
      <c r="I250" s="1">
        <v>1</v>
      </c>
      <c r="J250" s="53">
        <f>ROUNDUP(I240/8,0)+(ROUNDUP(I245/8,0)+ROUNDUP(I246/8,0)+ROUNDUP(I247/8,0))*(100/DASHBOARD!$D$121)</f>
        <v>7.3829787234042552</v>
      </c>
      <c r="K250" s="53"/>
      <c r="L250" s="4">
        <f t="shared" si="11"/>
        <v>1.7689617021276596</v>
      </c>
      <c r="M250" s="1" t="s">
        <v>140</v>
      </c>
      <c r="N250" s="87" t="s">
        <v>119</v>
      </c>
    </row>
    <row r="251" spans="2:14">
      <c r="B251" s="23"/>
      <c r="D251" s="134"/>
      <c r="G251" s="1" t="s">
        <v>10</v>
      </c>
      <c r="H251" s="3">
        <f>DASHBOARD!D60</f>
        <v>1.7004999999999999</v>
      </c>
      <c r="I251" s="1">
        <v>1</v>
      </c>
      <c r="J251" s="53">
        <f>2*SUM(I245:I247)/8</f>
        <v>2.989523809523809</v>
      </c>
      <c r="K251" s="53"/>
      <c r="L251" s="4">
        <f t="shared" si="11"/>
        <v>5.0836852380952369</v>
      </c>
      <c r="M251" s="1" t="s">
        <v>139</v>
      </c>
      <c r="N251" s="87" t="s">
        <v>119</v>
      </c>
    </row>
    <row r="252" spans="2:14">
      <c r="B252" s="23"/>
      <c r="D252" s="134"/>
      <c r="G252" s="1" t="s">
        <v>28</v>
      </c>
      <c r="H252" s="3">
        <f>DASHBOARD!D75</f>
        <v>12.16</v>
      </c>
      <c r="I252" s="1">
        <v>1</v>
      </c>
      <c r="J252" s="1">
        <v>100</v>
      </c>
      <c r="K252" s="53"/>
      <c r="L252" s="4">
        <f t="shared" si="11"/>
        <v>1216</v>
      </c>
      <c r="N252" s="87" t="s">
        <v>141</v>
      </c>
    </row>
    <row r="253" spans="2:14">
      <c r="B253" s="23"/>
      <c r="D253" s="134"/>
      <c r="G253" s="1" t="s">
        <v>29</v>
      </c>
      <c r="H253" s="3">
        <f>DASHBOARD!D76</f>
        <v>0.72</v>
      </c>
      <c r="I253" s="1">
        <v>1</v>
      </c>
      <c r="J253" s="1">
        <v>100</v>
      </c>
      <c r="K253" s="53"/>
      <c r="L253" s="4">
        <f t="shared" si="11"/>
        <v>72</v>
      </c>
      <c r="N253" s="87" t="s">
        <v>142</v>
      </c>
    </row>
    <row r="254" spans="2:14">
      <c r="B254" s="23"/>
      <c r="D254" s="134"/>
      <c r="F254" s="2">
        <f>DASHBOARD!$D$101</f>
        <v>1.23E-3</v>
      </c>
      <c r="G254" s="42" t="s">
        <v>14</v>
      </c>
      <c r="H254" s="3">
        <f>DASHBOARD!D35</f>
        <v>24.612000000000002</v>
      </c>
      <c r="I254" s="1">
        <f>DASHBOARD!D150*(100/60)*(8/7)</f>
        <v>7.6190476190476186</v>
      </c>
      <c r="J254" s="1">
        <v>1</v>
      </c>
      <c r="K254" s="53">
        <f>D240*F254*I254*J254</f>
        <v>9.3714285714285705E-3</v>
      </c>
      <c r="L254" s="4">
        <f>H254*I254*J254</f>
        <v>187.52</v>
      </c>
      <c r="M254" s="1" t="s">
        <v>50</v>
      </c>
      <c r="N254" s="87" t="s">
        <v>133</v>
      </c>
    </row>
    <row r="255" spans="2:14">
      <c r="B255" s="23"/>
      <c r="D255" s="134"/>
      <c r="G255" s="42" t="s">
        <v>31</v>
      </c>
      <c r="H255" s="3">
        <f>DASHBOARD!D44</f>
        <v>48</v>
      </c>
      <c r="I255" s="11">
        <f>SUM(I259:I261)*(1/100)</f>
        <v>0.17672380952380951</v>
      </c>
      <c r="J255" s="1">
        <v>1</v>
      </c>
      <c r="K255" s="53">
        <f>D240*F254*I255*J255</f>
        <v>2.1737028571428569E-4</v>
      </c>
      <c r="L255" s="4">
        <f t="shared" ref="L255:L266" si="12">H255*I255*J255</f>
        <v>8.4827428571428563</v>
      </c>
      <c r="M255" s="1" t="s">
        <v>136</v>
      </c>
      <c r="N255" s="87" t="s">
        <v>115</v>
      </c>
    </row>
    <row r="256" spans="2:14">
      <c r="B256" s="23"/>
      <c r="D256" s="134"/>
      <c r="G256" s="42" t="s">
        <v>32</v>
      </c>
      <c r="H256" s="3">
        <f>DASHBOARD!D49</f>
        <v>58.847999999999999</v>
      </c>
      <c r="I256" s="11">
        <f>SUM(I259:I261)*(1/10)</f>
        <v>1.7672380952380953</v>
      </c>
      <c r="J256" s="1">
        <v>1</v>
      </c>
      <c r="K256" s="53">
        <f>D240*F254*I256*J256</f>
        <v>2.1737028571428571E-3</v>
      </c>
      <c r="L256" s="4">
        <f t="shared" si="12"/>
        <v>103.99842742857143</v>
      </c>
      <c r="M256" s="1" t="s">
        <v>137</v>
      </c>
      <c r="N256" s="87" t="s">
        <v>134</v>
      </c>
    </row>
    <row r="257" spans="2:14">
      <c r="B257" s="23"/>
      <c r="D257" s="134"/>
      <c r="G257" s="42" t="s">
        <v>33</v>
      </c>
      <c r="H257" s="3">
        <f>DASHBOARD!D50</f>
        <v>39</v>
      </c>
      <c r="I257" s="11">
        <f>SUM(I259:I261)*(1/33)</f>
        <v>0.53552669552669552</v>
      </c>
      <c r="J257" s="1">
        <v>1</v>
      </c>
      <c r="K257" s="53">
        <f>D240*F254*I257*J257</f>
        <v>6.5869783549783549E-4</v>
      </c>
      <c r="L257" s="4">
        <f t="shared" si="12"/>
        <v>20.885541125541124</v>
      </c>
      <c r="M257" s="1" t="s">
        <v>138</v>
      </c>
      <c r="N257" s="87" t="s">
        <v>115</v>
      </c>
    </row>
    <row r="258" spans="2:14">
      <c r="B258" s="23"/>
      <c r="D258" s="134"/>
      <c r="G258" s="42" t="s">
        <v>34</v>
      </c>
      <c r="H258" s="3">
        <f>DASHBOARD!D51</f>
        <v>43.199999999999996</v>
      </c>
      <c r="I258" s="1">
        <f>SUM(I259:I261)*(1/100)</f>
        <v>0.17672380952380951</v>
      </c>
      <c r="J258" s="1">
        <v>1</v>
      </c>
      <c r="K258" s="53">
        <f>D240*F254*I258*J258</f>
        <v>2.1737028571428569E-4</v>
      </c>
      <c r="L258" s="4">
        <f t="shared" si="12"/>
        <v>7.6344685714285703</v>
      </c>
      <c r="M258" s="1" t="s">
        <v>136</v>
      </c>
      <c r="N258" s="87" t="s">
        <v>135</v>
      </c>
    </row>
    <row r="259" spans="2:14">
      <c r="B259" s="23"/>
      <c r="D259" s="134"/>
      <c r="F259" s="2" t="s">
        <v>451</v>
      </c>
      <c r="G259" s="42" t="s">
        <v>27</v>
      </c>
      <c r="H259" s="3">
        <f>DASHBOARD!D39</f>
        <v>30</v>
      </c>
      <c r="I259" s="1">
        <f>5*(8/7)</f>
        <v>5.7142857142857135</v>
      </c>
      <c r="J259" s="1">
        <v>1</v>
      </c>
      <c r="K259" s="53">
        <f>D240*F254*I259*J259</f>
        <v>7.0285714285714274E-3</v>
      </c>
      <c r="L259" s="4">
        <f t="shared" si="12"/>
        <v>171.42857142857142</v>
      </c>
      <c r="M259" s="1" t="s">
        <v>48</v>
      </c>
      <c r="N259" s="87" t="s">
        <v>115</v>
      </c>
    </row>
    <row r="260" spans="2:14">
      <c r="B260" s="23"/>
      <c r="D260" s="134"/>
      <c r="F260" s="2" t="s">
        <v>452</v>
      </c>
      <c r="G260" s="42" t="s">
        <v>27</v>
      </c>
      <c r="H260" s="3">
        <f>DASHBOARD!D39</f>
        <v>30</v>
      </c>
      <c r="I260" s="1">
        <f>2.13*(8/7)</f>
        <v>2.4342857142857142</v>
      </c>
      <c r="J260" s="1">
        <v>1</v>
      </c>
      <c r="K260" s="53">
        <f>D240*F254*I260*J260</f>
        <v>2.9941714285714282E-3</v>
      </c>
      <c r="L260" s="4">
        <f t="shared" si="12"/>
        <v>73.028571428571425</v>
      </c>
      <c r="M260" s="1" t="s">
        <v>49</v>
      </c>
      <c r="N260" s="87" t="s">
        <v>115</v>
      </c>
    </row>
    <row r="261" spans="2:14">
      <c r="B261" s="23"/>
      <c r="D261" s="134"/>
      <c r="F261" s="2" t="s">
        <v>453</v>
      </c>
      <c r="G261" s="66" t="s">
        <v>27</v>
      </c>
      <c r="H261" s="3">
        <f>DASHBOARD!D39</f>
        <v>30</v>
      </c>
      <c r="I261" s="1">
        <f>(DASHBOARD!D153*100)/60*(8/7)</f>
        <v>9.5238095238095237</v>
      </c>
      <c r="J261" s="1">
        <v>1</v>
      </c>
      <c r="K261" s="53">
        <f>D240*F254*I261*J261</f>
        <v>1.1714285714285714E-2</v>
      </c>
      <c r="L261" s="4">
        <f t="shared" si="12"/>
        <v>285.71428571428572</v>
      </c>
      <c r="M261" s="27" t="s">
        <v>171</v>
      </c>
      <c r="N261" s="87" t="s">
        <v>115</v>
      </c>
    </row>
    <row r="262" spans="2:14">
      <c r="B262" s="23"/>
      <c r="D262" s="134"/>
      <c r="G262" s="1" t="s">
        <v>41</v>
      </c>
      <c r="H262" s="3">
        <f>DASHBOARD!D57</f>
        <v>3.95</v>
      </c>
      <c r="I262" s="1">
        <v>1</v>
      </c>
      <c r="J262" s="53">
        <f>2*SUM(I259:I261)/8</f>
        <v>4.4180952380952379</v>
      </c>
      <c r="K262" s="53"/>
      <c r="L262" s="4">
        <f t="shared" si="12"/>
        <v>17.451476190476189</v>
      </c>
      <c r="M262" s="1" t="s">
        <v>139</v>
      </c>
      <c r="N262" s="87" t="s">
        <v>117</v>
      </c>
    </row>
    <row r="263" spans="2:14">
      <c r="B263" s="23"/>
      <c r="D263" s="134"/>
      <c r="G263" s="1" t="s">
        <v>9</v>
      </c>
      <c r="H263" s="3">
        <f>DASHBOARD!D58</f>
        <v>13.95</v>
      </c>
      <c r="I263" s="1">
        <v>1</v>
      </c>
      <c r="J263" s="53">
        <f>2*SUM(I259:I261)/8</f>
        <v>4.4180952380952379</v>
      </c>
      <c r="K263" s="53"/>
      <c r="L263" s="4">
        <f t="shared" si="12"/>
        <v>61.632428571428562</v>
      </c>
      <c r="M263" s="1" t="s">
        <v>139</v>
      </c>
      <c r="N263" s="87" t="s">
        <v>118</v>
      </c>
    </row>
    <row r="264" spans="2:14">
      <c r="B264" s="23"/>
      <c r="D264" s="134"/>
      <c r="G264" s="1" t="s">
        <v>16</v>
      </c>
      <c r="H264" s="3">
        <f>DASHBOARD!D59</f>
        <v>0.23960000000000001</v>
      </c>
      <c r="I264" s="1">
        <v>1</v>
      </c>
      <c r="J264" s="53">
        <f>ROUNDUP(I254/8,0)+(ROUNDUP(I259/8,0)+ROUNDUP(I260/8,0)+ROUNDUP(I261/8,0))*(100/DASHBOARD!$D$121)</f>
        <v>9.5106382978723403</v>
      </c>
      <c r="K264" s="53"/>
      <c r="L264" s="4">
        <f t="shared" si="12"/>
        <v>2.2787489361702127</v>
      </c>
      <c r="M264" s="1" t="s">
        <v>140</v>
      </c>
      <c r="N264" s="87" t="s">
        <v>119</v>
      </c>
    </row>
    <row r="265" spans="2:14">
      <c r="B265" s="23"/>
      <c r="D265" s="134"/>
      <c r="G265" s="1" t="s">
        <v>10</v>
      </c>
      <c r="H265" s="3">
        <f>DASHBOARD!D60</f>
        <v>1.7004999999999999</v>
      </c>
      <c r="I265" s="1">
        <v>1</v>
      </c>
      <c r="J265" s="53">
        <f>2*SUM(I259:I261)/8</f>
        <v>4.4180952380952379</v>
      </c>
      <c r="K265" s="53"/>
      <c r="L265" s="4">
        <f t="shared" si="12"/>
        <v>7.5129709523809511</v>
      </c>
      <c r="M265" s="1" t="s">
        <v>139</v>
      </c>
      <c r="N265" s="87" t="s">
        <v>119</v>
      </c>
    </row>
    <row r="266" spans="2:14">
      <c r="B266" s="23"/>
      <c r="D266" s="134"/>
      <c r="G266" s="1" t="s">
        <v>28</v>
      </c>
      <c r="H266" s="3">
        <f>DASHBOARD!D75</f>
        <v>12.16</v>
      </c>
      <c r="I266" s="1">
        <v>1</v>
      </c>
      <c r="J266" s="1">
        <v>100</v>
      </c>
      <c r="K266" s="53"/>
      <c r="L266" s="4">
        <f t="shared" si="12"/>
        <v>1216</v>
      </c>
      <c r="N266" s="87" t="s">
        <v>141</v>
      </c>
    </row>
    <row r="267" spans="2:14" ht="16.350000000000001" customHeight="1">
      <c r="B267" s="23"/>
      <c r="D267" s="134"/>
      <c r="G267" s="1" t="s">
        <v>29</v>
      </c>
      <c r="H267" s="3">
        <f>DASHBOARD!D76</f>
        <v>0.72</v>
      </c>
      <c r="I267" s="1">
        <v>1</v>
      </c>
      <c r="J267" s="1">
        <v>100</v>
      </c>
      <c r="K267" s="53"/>
      <c r="L267" s="4">
        <f t="shared" si="11"/>
        <v>72</v>
      </c>
      <c r="N267" s="87" t="s">
        <v>142</v>
      </c>
    </row>
    <row r="268" spans="2:14" ht="42.75" customHeight="1">
      <c r="B268" s="23"/>
      <c r="C268" s="26">
        <f>C4</f>
        <v>113360</v>
      </c>
      <c r="D268" s="140">
        <f>IF(DASHBOARD!$D$139=1,(1-D240),0)</f>
        <v>0</v>
      </c>
      <c r="E268" s="21" t="s">
        <v>338</v>
      </c>
      <c r="F268" s="139">
        <f>1-F282</f>
        <v>0.99508906995882096</v>
      </c>
      <c r="G268" s="42" t="s">
        <v>14</v>
      </c>
      <c r="H268" s="3">
        <f>DASHBOARD!$D$35</f>
        <v>24.612000000000002</v>
      </c>
      <c r="I268" s="11">
        <f>DASHBOARD!$D$150*(100/60)*(8/7)</f>
        <v>7.6190476190476186</v>
      </c>
      <c r="J268" s="11">
        <v>1</v>
      </c>
      <c r="K268" s="11">
        <f>D268*F268*I268*J268</f>
        <v>0</v>
      </c>
      <c r="L268" s="4">
        <f>H268*I268*J268/DASHBOARD!$D$136</f>
        <v>46.88</v>
      </c>
      <c r="M268" s="1" t="s">
        <v>50</v>
      </c>
      <c r="N268" s="87" t="s">
        <v>133</v>
      </c>
    </row>
    <row r="269" spans="2:14">
      <c r="B269" s="23"/>
      <c r="D269" s="141" t="s">
        <v>330</v>
      </c>
      <c r="E269" s="21" t="s">
        <v>333</v>
      </c>
      <c r="F269" s="133" t="s">
        <v>332</v>
      </c>
      <c r="G269" s="42" t="s">
        <v>31</v>
      </c>
      <c r="H269" s="3">
        <f>DASHBOARD!$D$44</f>
        <v>48</v>
      </c>
      <c r="I269" s="11">
        <f>SUM(I273:I275)*(1/100)</f>
        <v>0.13862857142895238</v>
      </c>
      <c r="J269" s="11">
        <v>1</v>
      </c>
      <c r="K269" s="11">
        <f>D268*F268*I269*J269</f>
        <v>0</v>
      </c>
      <c r="L269" s="4">
        <f>H269*I269*J269/DASHBOARD!$D$136</f>
        <v>1.6635428571474287</v>
      </c>
      <c r="M269" s="1" t="s">
        <v>136</v>
      </c>
      <c r="N269" s="87" t="s">
        <v>115</v>
      </c>
    </row>
    <row r="270" spans="2:14">
      <c r="B270" s="23"/>
      <c r="D270" s="140"/>
      <c r="E270" s="137" t="s">
        <v>339</v>
      </c>
      <c r="G270" s="42" t="s">
        <v>32</v>
      </c>
      <c r="H270" s="3">
        <f>DASHBOARD!$D$49</f>
        <v>58.847999999999999</v>
      </c>
      <c r="I270" s="11">
        <f>SUM(I273:I275)*(1/10)</f>
        <v>1.3862857142895237</v>
      </c>
      <c r="J270" s="11">
        <v>1</v>
      </c>
      <c r="K270" s="11">
        <f>D268*F268*I270*J270</f>
        <v>0</v>
      </c>
      <c r="L270" s="4">
        <f>H270*I270*J270/DASHBOARD!$D$136</f>
        <v>20.395035428627473</v>
      </c>
      <c r="M270" s="1" t="s">
        <v>137</v>
      </c>
      <c r="N270" s="87" t="s">
        <v>134</v>
      </c>
    </row>
    <row r="271" spans="2:14">
      <c r="B271" s="23"/>
      <c r="D271" s="140"/>
      <c r="E271" s="137" t="s">
        <v>340</v>
      </c>
      <c r="G271" s="42" t="s">
        <v>33</v>
      </c>
      <c r="H271" s="3">
        <f>DASHBOARD!$D$50</f>
        <v>39</v>
      </c>
      <c r="I271" s="11">
        <f>SUM(I273:I275)*(1/33)</f>
        <v>0.42008658008773447</v>
      </c>
      <c r="J271" s="11">
        <v>1</v>
      </c>
      <c r="K271" s="11">
        <f>D268*F268*I271*J271</f>
        <v>0</v>
      </c>
      <c r="L271" s="4">
        <f>H271*I271*J271/DASHBOARD!$D$136</f>
        <v>4.0958441558554108</v>
      </c>
      <c r="M271" s="1" t="s">
        <v>138</v>
      </c>
      <c r="N271" s="87" t="s">
        <v>115</v>
      </c>
    </row>
    <row r="272" spans="2:14">
      <c r="B272" s="23"/>
      <c r="D272" s="140"/>
      <c r="E272" s="137" t="s">
        <v>335</v>
      </c>
      <c r="G272" s="42" t="s">
        <v>34</v>
      </c>
      <c r="H272" s="3">
        <f>DASHBOARD!$D$51</f>
        <v>43.199999999999996</v>
      </c>
      <c r="I272" s="11">
        <f>SUM(I273:I275)*(1/100)</f>
        <v>0.13862857142895238</v>
      </c>
      <c r="J272" s="11">
        <v>1</v>
      </c>
      <c r="K272" s="11">
        <f>D268*F268*I272*J272</f>
        <v>0</v>
      </c>
      <c r="L272" s="4">
        <f>H272*I272*J272/DASHBOARD!$D$136</f>
        <v>1.4971885714326856</v>
      </c>
      <c r="M272" s="1" t="s">
        <v>136</v>
      </c>
      <c r="N272" s="87" t="s">
        <v>135</v>
      </c>
    </row>
    <row r="273" spans="2:14">
      <c r="B273" s="23"/>
      <c r="D273" s="140"/>
      <c r="E273" s="138" t="s">
        <v>341</v>
      </c>
      <c r="F273" s="2" t="s">
        <v>451</v>
      </c>
      <c r="G273" s="42" t="s">
        <v>27</v>
      </c>
      <c r="H273" s="3">
        <f>DASHBOARD!$D$39</f>
        <v>30</v>
      </c>
      <c r="I273" s="11">
        <f>6.6666666667*(8/7)</f>
        <v>7.6190476190857144</v>
      </c>
      <c r="J273" s="11">
        <v>1</v>
      </c>
      <c r="K273" s="11">
        <f>D268*F268*I273*J273</f>
        <v>0</v>
      </c>
      <c r="L273" s="4">
        <f>H273*I273*J273/DASHBOARD!$D$136</f>
        <v>57.142857143142855</v>
      </c>
      <c r="M273" s="1" t="s">
        <v>342</v>
      </c>
      <c r="N273" s="87" t="s">
        <v>115</v>
      </c>
    </row>
    <row r="274" spans="2:14" ht="15" customHeight="1">
      <c r="B274" s="23"/>
      <c r="D274" s="140"/>
      <c r="E274" s="143">
        <v>1</v>
      </c>
      <c r="F274" s="2" t="s">
        <v>452</v>
      </c>
      <c r="G274" s="42" t="s">
        <v>27</v>
      </c>
      <c r="H274" s="3">
        <f>DASHBOARD!$D$39</f>
        <v>30</v>
      </c>
      <c r="I274" s="11">
        <f>2.13*(8/7)</f>
        <v>2.4342857142857142</v>
      </c>
      <c r="J274" s="11">
        <v>1</v>
      </c>
      <c r="K274" s="11">
        <f>D268*F268*I274*J274</f>
        <v>0</v>
      </c>
      <c r="L274" s="4">
        <f>H274*I274*J274/DASHBOARD!$D$136</f>
        <v>18.257142857142856</v>
      </c>
      <c r="M274" s="1" t="s">
        <v>49</v>
      </c>
      <c r="N274" s="87" t="s">
        <v>115</v>
      </c>
    </row>
    <row r="275" spans="2:14">
      <c r="B275" s="23"/>
      <c r="D275" s="140"/>
      <c r="F275" s="2" t="s">
        <v>453</v>
      </c>
      <c r="G275" s="66" t="s">
        <v>27</v>
      </c>
      <c r="H275" s="3">
        <f>DASHBOARD!$D$39</f>
        <v>30</v>
      </c>
      <c r="I275" s="11">
        <f>(DASHBOARD!$D$154*100)/60*(8/7)</f>
        <v>3.8095238095238093</v>
      </c>
      <c r="J275" s="11">
        <v>1</v>
      </c>
      <c r="K275" s="11">
        <f>D268*F268*I275*J275</f>
        <v>0</v>
      </c>
      <c r="L275" s="4">
        <f t="shared" ref="L275" si="13">H275*I275*J275</f>
        <v>114.28571428571428</v>
      </c>
      <c r="M275" s="27" t="s">
        <v>77</v>
      </c>
      <c r="N275" s="87" t="s">
        <v>115</v>
      </c>
    </row>
    <row r="276" spans="2:14">
      <c r="B276" s="23"/>
      <c r="D276" s="140"/>
      <c r="G276" s="1" t="s">
        <v>41</v>
      </c>
      <c r="H276" s="3">
        <f>DASHBOARD!$D$57</f>
        <v>3.95</v>
      </c>
      <c r="I276" s="11">
        <v>1</v>
      </c>
      <c r="J276" s="55">
        <f>2*SUM(I273:I275)/8</f>
        <v>3.4657142857238092</v>
      </c>
      <c r="K276" s="55"/>
      <c r="L276" s="4">
        <f>H276*I276*J276/DASHBOARD!$D$136</f>
        <v>3.4223928571522619</v>
      </c>
      <c r="M276" s="1" t="s">
        <v>139</v>
      </c>
      <c r="N276" s="87" t="s">
        <v>117</v>
      </c>
    </row>
    <row r="277" spans="2:14">
      <c r="B277" s="23"/>
      <c r="D277" s="140"/>
      <c r="G277" s="1" t="s">
        <v>9</v>
      </c>
      <c r="H277" s="3">
        <f>DASHBOARD!$D$58</f>
        <v>13.95</v>
      </c>
      <c r="I277" s="11">
        <v>1</v>
      </c>
      <c r="J277" s="55">
        <f>2*SUM(I273:I275)/8</f>
        <v>3.4657142857238092</v>
      </c>
      <c r="K277" s="55"/>
      <c r="L277" s="4">
        <f>H277*I277*J277/DASHBOARD!$D$136</f>
        <v>12.086678571461784</v>
      </c>
      <c r="M277" s="1" t="s">
        <v>139</v>
      </c>
      <c r="N277" s="87" t="s">
        <v>118</v>
      </c>
    </row>
    <row r="278" spans="2:14">
      <c r="B278" s="23"/>
      <c r="D278" s="140"/>
      <c r="G278" s="1" t="s">
        <v>16</v>
      </c>
      <c r="H278" s="3">
        <f>DASHBOARD!$D$59</f>
        <v>0.23960000000000001</v>
      </c>
      <c r="I278" s="11">
        <v>1</v>
      </c>
      <c r="J278" s="55">
        <f>ROUNDUP(I268/8,0)+(ROUNDUP(I273/8,0)+ROUNDUP(I274/8,0)+ROUNDUP(I275/8,0))*(100/DASHBOARD!$D$121)</f>
        <v>7.3829787234042552</v>
      </c>
      <c r="K278" s="55"/>
      <c r="L278" s="4">
        <f>H278*I278*J278/DASHBOARD!$D$136</f>
        <v>0.44224042553191489</v>
      </c>
      <c r="M278" s="1" t="s">
        <v>140</v>
      </c>
      <c r="N278" s="87" t="s">
        <v>119</v>
      </c>
    </row>
    <row r="279" spans="2:14">
      <c r="B279" s="23"/>
      <c r="D279" s="140"/>
      <c r="G279" s="1" t="s">
        <v>10</v>
      </c>
      <c r="H279" s="3">
        <f>DASHBOARD!$D$60</f>
        <v>1.7004999999999999</v>
      </c>
      <c r="I279" s="11">
        <v>1</v>
      </c>
      <c r="J279" s="55">
        <f>2*SUM(I273:I275)/8</f>
        <v>3.4657142857238092</v>
      </c>
      <c r="K279" s="55"/>
      <c r="L279" s="4">
        <f>H279*I279*J279/DASHBOARD!$D$136</f>
        <v>1.4733617857183343</v>
      </c>
      <c r="M279" s="1" t="s">
        <v>139</v>
      </c>
      <c r="N279" s="87" t="s">
        <v>119</v>
      </c>
    </row>
    <row r="280" spans="2:14">
      <c r="B280" s="23"/>
      <c r="D280" s="140"/>
      <c r="G280" s="1" t="s">
        <v>28</v>
      </c>
      <c r="H280" s="3">
        <f>DASHBOARD!$D$75</f>
        <v>12.16</v>
      </c>
      <c r="I280" s="11">
        <v>1</v>
      </c>
      <c r="J280" s="11">
        <v>100</v>
      </c>
      <c r="K280" s="11"/>
      <c r="L280" s="4">
        <f>H280*I280*J280/DASHBOARD!$D$136</f>
        <v>304</v>
      </c>
      <c r="N280" s="87" t="s">
        <v>141</v>
      </c>
    </row>
    <row r="281" spans="2:14">
      <c r="B281" s="23"/>
      <c r="C281" s="3"/>
      <c r="D281" s="140"/>
      <c r="G281" s="1" t="s">
        <v>29</v>
      </c>
      <c r="H281" s="3">
        <f>DASHBOARD!$D$76</f>
        <v>0.72</v>
      </c>
      <c r="I281" s="11">
        <v>1</v>
      </c>
      <c r="J281" s="11">
        <v>100</v>
      </c>
      <c r="K281" s="11"/>
      <c r="L281" s="4">
        <f>H281*I281*J281/DASHBOARD!$D$136</f>
        <v>18</v>
      </c>
      <c r="N281" s="87" t="s">
        <v>142</v>
      </c>
    </row>
    <row r="282" spans="2:14">
      <c r="B282" s="23"/>
      <c r="C282" s="3"/>
      <c r="D282" s="140"/>
      <c r="F282" s="139">
        <f>1-(F240^DASHBOARD!$D$136)</f>
        <v>4.9109300411790402E-3</v>
      </c>
      <c r="G282" s="42" t="s">
        <v>14</v>
      </c>
      <c r="H282" s="3">
        <f>DASHBOARD!$D$35</f>
        <v>24.612000000000002</v>
      </c>
      <c r="I282" s="11">
        <f>DASHBOARD!$D$150*(100/60)*(8/7)</f>
        <v>7.6190476190476186</v>
      </c>
      <c r="J282" s="11">
        <v>1</v>
      </c>
      <c r="K282" s="11">
        <f>D268*F282*I282*J282</f>
        <v>0</v>
      </c>
      <c r="L282" s="4">
        <f>H282*I282*J282/DASHBOARD!$D$136</f>
        <v>46.88</v>
      </c>
      <c r="M282" s="1" t="s">
        <v>50</v>
      </c>
      <c r="N282" s="87" t="s">
        <v>133</v>
      </c>
    </row>
    <row r="283" spans="2:14">
      <c r="B283" s="23"/>
      <c r="C283" s="3"/>
      <c r="D283" s="140"/>
      <c r="F283" s="133" t="s">
        <v>331</v>
      </c>
      <c r="G283" s="42" t="s">
        <v>31</v>
      </c>
      <c r="H283" s="3">
        <f>DASHBOARD!$D$44</f>
        <v>48</v>
      </c>
      <c r="I283" s="11">
        <f>SUM(I287:I289)*(1/100)</f>
        <v>0.19577142857180951</v>
      </c>
      <c r="J283" s="11">
        <v>1</v>
      </c>
      <c r="K283" s="11">
        <f>D268*F282*I283*J283</f>
        <v>0</v>
      </c>
      <c r="L283" s="4">
        <f>H283*I283*J283/DASHBOARD!$D$136</f>
        <v>2.3492571428617142</v>
      </c>
      <c r="M283" s="1" t="s">
        <v>136</v>
      </c>
      <c r="N283" s="87" t="s">
        <v>115</v>
      </c>
    </row>
    <row r="284" spans="2:14">
      <c r="B284" s="23"/>
      <c r="C284" s="3"/>
      <c r="D284" s="140"/>
      <c r="G284" s="42" t="s">
        <v>32</v>
      </c>
      <c r="H284" s="3">
        <f>DASHBOARD!$D$49</f>
        <v>58.847999999999999</v>
      </c>
      <c r="I284" s="11">
        <f>SUM(I287:I289)*(1/10)</f>
        <v>1.9577142857180954</v>
      </c>
      <c r="J284" s="11">
        <v>1</v>
      </c>
      <c r="K284" s="11">
        <f>D268*F282*I284*J284</f>
        <v>0</v>
      </c>
      <c r="L284" s="4">
        <f>H284*I284*J284/DASHBOARD!$D$136</f>
        <v>28.801892571484618</v>
      </c>
      <c r="M284" s="1" t="s">
        <v>137</v>
      </c>
      <c r="N284" s="87" t="s">
        <v>134</v>
      </c>
    </row>
    <row r="285" spans="2:14">
      <c r="B285" s="23"/>
      <c r="D285" s="140"/>
      <c r="G285" s="42" t="s">
        <v>33</v>
      </c>
      <c r="H285" s="3">
        <f>DASHBOARD!$D$50</f>
        <v>39</v>
      </c>
      <c r="I285" s="11">
        <f>SUM(I287:I289)*(1/33)</f>
        <v>0.59324675324790765</v>
      </c>
      <c r="J285" s="11">
        <v>1</v>
      </c>
      <c r="K285" s="11">
        <f>D268*F282*I285*J285</f>
        <v>0</v>
      </c>
      <c r="L285" s="4">
        <f>H285*I285*J285/DASHBOARD!$D$136</f>
        <v>5.7841558441670999</v>
      </c>
      <c r="M285" s="1" t="s">
        <v>138</v>
      </c>
      <c r="N285" s="87" t="s">
        <v>115</v>
      </c>
    </row>
    <row r="286" spans="2:14">
      <c r="B286" s="23"/>
      <c r="D286" s="140"/>
      <c r="G286" s="42" t="s">
        <v>34</v>
      </c>
      <c r="H286" s="3">
        <f>DASHBOARD!$D$51</f>
        <v>43.199999999999996</v>
      </c>
      <c r="I286" s="11">
        <f>SUM(I287:I289)*(1/100)</f>
        <v>0.19577142857180951</v>
      </c>
      <c r="J286" s="11">
        <v>1</v>
      </c>
      <c r="K286" s="11">
        <f>D268*F282*I286*J286</f>
        <v>0</v>
      </c>
      <c r="L286" s="4">
        <f>H286*I286*J286/DASHBOARD!$D$136</f>
        <v>2.1143314285755426</v>
      </c>
      <c r="M286" s="1" t="s">
        <v>136</v>
      </c>
      <c r="N286" s="87" t="s">
        <v>135</v>
      </c>
    </row>
    <row r="287" spans="2:14">
      <c r="B287" s="23"/>
      <c r="D287" s="140"/>
      <c r="F287" s="2" t="s">
        <v>451</v>
      </c>
      <c r="G287" s="42" t="s">
        <v>27</v>
      </c>
      <c r="H287" s="3">
        <f>DASHBOARD!$D$39</f>
        <v>30</v>
      </c>
      <c r="I287" s="11">
        <f>6.6666666667*(8/7)</f>
        <v>7.6190476190857144</v>
      </c>
      <c r="J287" s="11">
        <v>1</v>
      </c>
      <c r="K287" s="11">
        <f>D268*F282*I287*J287</f>
        <v>0</v>
      </c>
      <c r="L287" s="4">
        <f>H287*I287*J287/DASHBOARD!$D$136</f>
        <v>57.142857143142855</v>
      </c>
      <c r="M287" s="1" t="s">
        <v>342</v>
      </c>
      <c r="N287" s="87" t="s">
        <v>115</v>
      </c>
    </row>
    <row r="288" spans="2:14">
      <c r="B288" s="23"/>
      <c r="D288" s="140"/>
      <c r="F288" s="2" t="s">
        <v>452</v>
      </c>
      <c r="G288" s="42" t="s">
        <v>27</v>
      </c>
      <c r="H288" s="3">
        <f>DASHBOARD!$D$39</f>
        <v>30</v>
      </c>
      <c r="I288" s="11">
        <f>2.13*(8/7)</f>
        <v>2.4342857142857142</v>
      </c>
      <c r="J288" s="11">
        <v>1</v>
      </c>
      <c r="K288" s="11">
        <f>D268*F282*I288*J288</f>
        <v>0</v>
      </c>
      <c r="L288" s="4">
        <f>H288*I288*J288/DASHBOARD!$D$136</f>
        <v>18.257142857142856</v>
      </c>
      <c r="M288" s="1" t="s">
        <v>49</v>
      </c>
      <c r="N288" s="87" t="s">
        <v>115</v>
      </c>
    </row>
    <row r="289" spans="2:14">
      <c r="B289" s="23"/>
      <c r="D289" s="140"/>
      <c r="F289" s="2" t="s">
        <v>453</v>
      </c>
      <c r="G289" s="66" t="s">
        <v>27</v>
      </c>
      <c r="H289" s="3">
        <f>DASHBOARD!$D$39</f>
        <v>30</v>
      </c>
      <c r="I289" s="11">
        <f>(DASHBOARD!$D$153*100)/60*(8/7)</f>
        <v>9.5238095238095237</v>
      </c>
      <c r="J289" s="11">
        <v>1</v>
      </c>
      <c r="K289" s="11">
        <f>D268*F282*I289*J289</f>
        <v>0</v>
      </c>
      <c r="L289" s="4">
        <f>H289*I289*J289*0</f>
        <v>0</v>
      </c>
      <c r="M289" s="27" t="s">
        <v>345</v>
      </c>
      <c r="N289" s="87" t="s">
        <v>115</v>
      </c>
    </row>
    <row r="290" spans="2:14">
      <c r="B290" s="23"/>
      <c r="D290" s="140"/>
      <c r="G290" s="1" t="s">
        <v>41</v>
      </c>
      <c r="H290" s="3">
        <f>DASHBOARD!$D$57</f>
        <v>3.95</v>
      </c>
      <c r="I290" s="11">
        <v>1</v>
      </c>
      <c r="J290" s="55">
        <f>2*SUM(I287:I289)/8</f>
        <v>4.8942857142952381</v>
      </c>
      <c r="K290" s="55"/>
      <c r="L290" s="4">
        <f>H290*I290*J290/DASHBOARD!$D$136</f>
        <v>4.833107142866548</v>
      </c>
      <c r="M290" s="1" t="s">
        <v>139</v>
      </c>
      <c r="N290" s="87" t="s">
        <v>117</v>
      </c>
    </row>
    <row r="291" spans="2:14">
      <c r="B291" s="23"/>
      <c r="D291" s="140"/>
      <c r="G291" s="1" t="s">
        <v>9</v>
      </c>
      <c r="H291" s="3">
        <f>DASHBOARD!$D$58</f>
        <v>13.95</v>
      </c>
      <c r="I291" s="11">
        <v>1</v>
      </c>
      <c r="J291" s="55">
        <f>2*SUM(I287:I289)/8</f>
        <v>4.8942857142952381</v>
      </c>
      <c r="K291" s="55"/>
      <c r="L291" s="4">
        <f>H291*I291*J291/DASHBOARD!$D$136</f>
        <v>17.068821428604643</v>
      </c>
      <c r="M291" s="1" t="s">
        <v>139</v>
      </c>
      <c r="N291" s="87" t="s">
        <v>118</v>
      </c>
    </row>
    <row r="292" spans="2:14">
      <c r="B292" s="23"/>
      <c r="D292" s="140"/>
      <c r="G292" s="1" t="s">
        <v>16</v>
      </c>
      <c r="H292" s="3">
        <f>DASHBOARD!$D$59</f>
        <v>0.23960000000000001</v>
      </c>
      <c r="I292" s="11">
        <v>1</v>
      </c>
      <c r="J292" s="55">
        <f>ROUNDUP(I282/8,0)+(ROUNDUP(I287/8,0)+ROUNDUP(I288/8,0)+ROUNDUP(I289/8,0))*(100/DASHBOARD!$D$121)</f>
        <v>9.5106382978723403</v>
      </c>
      <c r="K292" s="55"/>
      <c r="L292" s="4">
        <f>H292*I292*J292/DASHBOARD!$D$136</f>
        <v>0.56968723404255317</v>
      </c>
      <c r="M292" s="1" t="s">
        <v>140</v>
      </c>
      <c r="N292" s="87" t="s">
        <v>119</v>
      </c>
    </row>
    <row r="293" spans="2:14">
      <c r="B293" s="23"/>
      <c r="D293" s="140"/>
      <c r="G293" s="1" t="s">
        <v>10</v>
      </c>
      <c r="H293" s="3">
        <f>DASHBOARD!$D$60</f>
        <v>1.7004999999999999</v>
      </c>
      <c r="I293" s="11">
        <v>1</v>
      </c>
      <c r="J293" s="55">
        <f>2*SUM(I287:I289)/8</f>
        <v>4.8942857142952381</v>
      </c>
      <c r="K293" s="55"/>
      <c r="L293" s="4">
        <f>H293*I293*J293/DASHBOARD!$D$136</f>
        <v>2.0806832142897629</v>
      </c>
      <c r="M293" s="1" t="s">
        <v>139</v>
      </c>
      <c r="N293" s="87" t="s">
        <v>119</v>
      </c>
    </row>
    <row r="294" spans="2:14">
      <c r="B294" s="23"/>
      <c r="D294" s="140"/>
      <c r="G294" s="1" t="s">
        <v>28</v>
      </c>
      <c r="H294" s="3">
        <f>DASHBOARD!$D$75</f>
        <v>12.16</v>
      </c>
      <c r="I294" s="11">
        <v>1</v>
      </c>
      <c r="J294" s="11">
        <v>100</v>
      </c>
      <c r="K294" s="11"/>
      <c r="L294" s="4">
        <f>H294*I294*J294/DASHBOARD!$D$136</f>
        <v>304</v>
      </c>
      <c r="N294" s="87" t="s">
        <v>141</v>
      </c>
    </row>
    <row r="295" spans="2:14" ht="16.350000000000001" customHeight="1">
      <c r="B295" s="23"/>
      <c r="D295" s="140"/>
      <c r="G295" s="1" t="s">
        <v>29</v>
      </c>
      <c r="H295" s="3">
        <f>DASHBOARD!$D$76</f>
        <v>0.72</v>
      </c>
      <c r="I295" s="11">
        <v>1</v>
      </c>
      <c r="J295" s="11">
        <v>100</v>
      </c>
      <c r="K295" s="11"/>
      <c r="L295" s="4">
        <f>H295*I295*J295/DASHBOARD!$D$136</f>
        <v>18</v>
      </c>
      <c r="N295" s="87" t="s">
        <v>142</v>
      </c>
    </row>
    <row r="296" spans="2:14" ht="16.350000000000001" customHeight="1">
      <c r="B296" s="23"/>
      <c r="D296" s="140"/>
      <c r="E296" s="21" t="s">
        <v>338</v>
      </c>
      <c r="F296" s="139">
        <f>1-F310</f>
        <v>0.74953827692794917</v>
      </c>
      <c r="G296" s="42" t="s">
        <v>14</v>
      </c>
      <c r="H296" s="3">
        <f>DASHBOARD!$D$35</f>
        <v>24.612000000000002</v>
      </c>
      <c r="I296" s="11">
        <f>DASHBOARD!$D$150*(100/60)*(8/7)</f>
        <v>7.6190476190476186</v>
      </c>
      <c r="J296" s="11">
        <v>1</v>
      </c>
      <c r="K296" s="11">
        <f>D268*E302*F296*I296*J296</f>
        <v>0</v>
      </c>
      <c r="L296" s="4">
        <f>H296*I296*J296</f>
        <v>187.52</v>
      </c>
      <c r="M296" s="1" t="s">
        <v>50</v>
      </c>
      <c r="N296" s="87" t="s">
        <v>133</v>
      </c>
    </row>
    <row r="297" spans="2:14" ht="16.350000000000001" customHeight="1">
      <c r="B297" s="23"/>
      <c r="D297" s="140"/>
      <c r="E297" s="21" t="s">
        <v>334</v>
      </c>
      <c r="F297" s="133" t="s">
        <v>332</v>
      </c>
      <c r="G297" s="42" t="s">
        <v>31</v>
      </c>
      <c r="H297" s="3">
        <f>DASHBOARD!$D$44</f>
        <v>48</v>
      </c>
      <c r="I297" s="11">
        <f>SUM(I301:I303)*(1/100)</f>
        <v>0.11958095238095236</v>
      </c>
      <c r="J297" s="11">
        <v>1</v>
      </c>
      <c r="K297" s="11">
        <f>D268*E302*F296*I297*J297</f>
        <v>0</v>
      </c>
      <c r="L297" s="4">
        <f>H297*I297*J297</f>
        <v>5.7398857142857134</v>
      </c>
      <c r="M297" s="1" t="s">
        <v>136</v>
      </c>
      <c r="N297" s="87" t="s">
        <v>115</v>
      </c>
    </row>
    <row r="298" spans="2:14" ht="16.350000000000001" customHeight="1">
      <c r="B298" s="23"/>
      <c r="D298" s="140"/>
      <c r="E298" s="137" t="s">
        <v>339</v>
      </c>
      <c r="G298" s="42" t="s">
        <v>32</v>
      </c>
      <c r="H298" s="3">
        <f>DASHBOARD!$D$49</f>
        <v>58.847999999999999</v>
      </c>
      <c r="I298" s="11">
        <f>SUM(I301:I303)*(1/10)</f>
        <v>1.1958095238095237</v>
      </c>
      <c r="J298" s="11">
        <v>1</v>
      </c>
      <c r="K298" s="11">
        <f>D268*E302*F296*I298*J298</f>
        <v>0</v>
      </c>
      <c r="L298" s="4">
        <f>H298*I298*J298</f>
        <v>70.370998857142851</v>
      </c>
      <c r="M298" s="1" t="s">
        <v>137</v>
      </c>
      <c r="N298" s="87" t="s">
        <v>134</v>
      </c>
    </row>
    <row r="299" spans="2:14" ht="16.350000000000001" customHeight="1">
      <c r="B299" s="23"/>
      <c r="D299" s="140"/>
      <c r="E299" s="137" t="s">
        <v>340</v>
      </c>
      <c r="G299" s="42" t="s">
        <v>33</v>
      </c>
      <c r="H299" s="3">
        <f>DASHBOARD!$D$50</f>
        <v>39</v>
      </c>
      <c r="I299" s="11">
        <f>SUM(I301:I303)*(1/33)</f>
        <v>0.36236652236652234</v>
      </c>
      <c r="J299" s="11">
        <v>1</v>
      </c>
      <c r="K299" s="11">
        <f>D268*E302*F296*I299*J299</f>
        <v>0</v>
      </c>
      <c r="L299" s="4">
        <f>H299*I299*J299</f>
        <v>14.132294372294371</v>
      </c>
      <c r="M299" s="1" t="s">
        <v>138</v>
      </c>
      <c r="N299" s="87" t="s">
        <v>115</v>
      </c>
    </row>
    <row r="300" spans="2:14" ht="16.350000000000001" customHeight="1">
      <c r="B300" s="23"/>
      <c r="D300" s="140"/>
      <c r="E300" s="137" t="s">
        <v>336</v>
      </c>
      <c r="G300" s="42" t="s">
        <v>34</v>
      </c>
      <c r="H300" s="3">
        <f>DASHBOARD!$D$51</f>
        <v>43.199999999999996</v>
      </c>
      <c r="I300" s="11">
        <f>SUM(I301:I303)*(1/100)</f>
        <v>0.11958095238095236</v>
      </c>
      <c r="J300" s="11">
        <v>1</v>
      </c>
      <c r="K300" s="11">
        <f>D268*E302*F296*I300*J300</f>
        <v>0</v>
      </c>
      <c r="L300" s="4">
        <f>H300*I300*J300</f>
        <v>5.1658971428571414</v>
      </c>
      <c r="M300" s="1" t="s">
        <v>136</v>
      </c>
      <c r="N300" s="87" t="s">
        <v>135</v>
      </c>
    </row>
    <row r="301" spans="2:14" ht="16.350000000000001" customHeight="1">
      <c r="B301" s="23"/>
      <c r="D301" s="140"/>
      <c r="E301" s="138" t="s">
        <v>341</v>
      </c>
      <c r="F301" s="2" t="s">
        <v>451</v>
      </c>
      <c r="G301" s="42" t="s">
        <v>27</v>
      </c>
      <c r="H301" s="3">
        <f>DASHBOARD!$D$39</f>
        <v>30</v>
      </c>
      <c r="I301" s="11">
        <f>5*(8/7)</f>
        <v>5.7142857142857135</v>
      </c>
      <c r="J301" s="11">
        <v>1</v>
      </c>
      <c r="K301" s="11">
        <f>D268*E302*F296*I301*J301</f>
        <v>0</v>
      </c>
      <c r="L301" s="4">
        <f t="shared" ref="L301:L323" si="14">H301*I301*J301</f>
        <v>171.42857142857142</v>
      </c>
      <c r="M301" s="1" t="s">
        <v>48</v>
      </c>
      <c r="N301" s="87" t="s">
        <v>115</v>
      </c>
    </row>
    <row r="302" spans="2:14" ht="16.350000000000001" customHeight="1">
      <c r="B302" s="23"/>
      <c r="D302" s="140"/>
      <c r="E302" s="142">
        <f>F282</f>
        <v>4.9109300411790402E-3</v>
      </c>
      <c r="F302" s="2" t="s">
        <v>452</v>
      </c>
      <c r="G302" s="42" t="s">
        <v>27</v>
      </c>
      <c r="H302" s="3">
        <f>DASHBOARD!$D$39</f>
        <v>30</v>
      </c>
      <c r="I302" s="11">
        <f>2.13*(8/7)</f>
        <v>2.4342857142857142</v>
      </c>
      <c r="J302" s="11">
        <v>1</v>
      </c>
      <c r="K302" s="11">
        <f>D268*E302*F296*I302*J302</f>
        <v>0</v>
      </c>
      <c r="L302" s="4">
        <f t="shared" si="14"/>
        <v>73.028571428571425</v>
      </c>
      <c r="M302" s="1" t="s">
        <v>49</v>
      </c>
      <c r="N302" s="87" t="s">
        <v>115</v>
      </c>
    </row>
    <row r="303" spans="2:14" ht="16.350000000000001" customHeight="1">
      <c r="B303" s="23"/>
      <c r="D303" s="140"/>
      <c r="E303" s="137"/>
      <c r="F303" s="2" t="s">
        <v>453</v>
      </c>
      <c r="G303" s="66" t="s">
        <v>27</v>
      </c>
      <c r="H303" s="3">
        <f>DASHBOARD!$D$39</f>
        <v>30</v>
      </c>
      <c r="I303" s="11">
        <f>(DASHBOARD!$D$154*100)/60*(8/7)</f>
        <v>3.8095238095238093</v>
      </c>
      <c r="J303" s="11">
        <v>1</v>
      </c>
      <c r="K303" s="11">
        <f>D268*E302*F296*I303*J303</f>
        <v>0</v>
      </c>
      <c r="L303" s="4">
        <f t="shared" si="14"/>
        <v>114.28571428571428</v>
      </c>
      <c r="M303" s="27" t="s">
        <v>77</v>
      </c>
      <c r="N303" s="87" t="s">
        <v>115</v>
      </c>
    </row>
    <row r="304" spans="2:14" ht="16.350000000000001" customHeight="1">
      <c r="B304" s="23"/>
      <c r="D304" s="140"/>
      <c r="G304" s="1" t="s">
        <v>41</v>
      </c>
      <c r="H304" s="3">
        <f>DASHBOARD!$D$57</f>
        <v>3.95</v>
      </c>
      <c r="I304" s="11">
        <v>1</v>
      </c>
      <c r="J304" s="55">
        <f>2*SUM(I301:I303)/8</f>
        <v>2.989523809523809</v>
      </c>
      <c r="K304" s="55"/>
      <c r="L304" s="4">
        <f t="shared" si="14"/>
        <v>11.808619047619047</v>
      </c>
      <c r="M304" s="1" t="s">
        <v>139</v>
      </c>
      <c r="N304" s="87" t="s">
        <v>117</v>
      </c>
    </row>
    <row r="305" spans="2:14" ht="16.350000000000001" customHeight="1">
      <c r="B305" s="23"/>
      <c r="D305" s="140"/>
      <c r="G305" s="1" t="s">
        <v>9</v>
      </c>
      <c r="H305" s="3">
        <f>DASHBOARD!$D$58</f>
        <v>13.95</v>
      </c>
      <c r="I305" s="11">
        <v>1</v>
      </c>
      <c r="J305" s="55">
        <f>2*SUM(I301:I303)/8</f>
        <v>2.989523809523809</v>
      </c>
      <c r="K305" s="55"/>
      <c r="L305" s="4">
        <f t="shared" si="14"/>
        <v>41.703857142857132</v>
      </c>
      <c r="M305" s="1" t="s">
        <v>139</v>
      </c>
      <c r="N305" s="87" t="s">
        <v>118</v>
      </c>
    </row>
    <row r="306" spans="2:14" ht="16.350000000000001" customHeight="1">
      <c r="B306" s="23"/>
      <c r="D306" s="140"/>
      <c r="G306" s="1" t="s">
        <v>16</v>
      </c>
      <c r="H306" s="3">
        <f>DASHBOARD!$D$59</f>
        <v>0.23960000000000001</v>
      </c>
      <c r="I306" s="11">
        <v>1</v>
      </c>
      <c r="J306" s="55">
        <f>ROUNDUP(I296/8,0)+(ROUNDUP(I301/8,0)+ROUNDUP(I302/8,0)+ROUNDUP(I303/8,0))*(100/DASHBOARD!$D$121)</f>
        <v>7.3829787234042552</v>
      </c>
      <c r="K306" s="55"/>
      <c r="L306" s="4">
        <f t="shared" si="14"/>
        <v>1.7689617021276596</v>
      </c>
      <c r="M306" s="1" t="s">
        <v>140</v>
      </c>
      <c r="N306" s="87" t="s">
        <v>119</v>
      </c>
    </row>
    <row r="307" spans="2:14" ht="16.350000000000001" customHeight="1">
      <c r="B307" s="23"/>
      <c r="D307" s="140"/>
      <c r="G307" s="1" t="s">
        <v>10</v>
      </c>
      <c r="H307" s="3">
        <f>DASHBOARD!$D$60</f>
        <v>1.7004999999999999</v>
      </c>
      <c r="I307" s="11">
        <v>1</v>
      </c>
      <c r="J307" s="55">
        <f>2*SUM(I301:I303)/8</f>
        <v>2.989523809523809</v>
      </c>
      <c r="K307" s="55"/>
      <c r="L307" s="4">
        <f t="shared" si="14"/>
        <v>5.0836852380952369</v>
      </c>
      <c r="M307" s="1" t="s">
        <v>139</v>
      </c>
      <c r="N307" s="87" t="s">
        <v>119</v>
      </c>
    </row>
    <row r="308" spans="2:14" ht="16.350000000000001" customHeight="1">
      <c r="B308" s="23"/>
      <c r="D308" s="140"/>
      <c r="G308" s="1" t="s">
        <v>28</v>
      </c>
      <c r="H308" s="3">
        <f>DASHBOARD!$D$75</f>
        <v>12.16</v>
      </c>
      <c r="I308" s="11">
        <v>1</v>
      </c>
      <c r="J308" s="11">
        <v>100</v>
      </c>
      <c r="K308" s="11"/>
      <c r="L308" s="4">
        <f t="shared" si="14"/>
        <v>1216</v>
      </c>
      <c r="N308" s="87" t="s">
        <v>141</v>
      </c>
    </row>
    <row r="309" spans="2:14" ht="16.350000000000001" customHeight="1">
      <c r="B309" s="23"/>
      <c r="D309" s="140"/>
      <c r="G309" s="1" t="s">
        <v>29</v>
      </c>
      <c r="H309" s="3">
        <f>DASHBOARD!$D$76</f>
        <v>0.72</v>
      </c>
      <c r="I309" s="11">
        <v>1</v>
      </c>
      <c r="J309" s="11">
        <v>100</v>
      </c>
      <c r="K309" s="11"/>
      <c r="L309" s="4">
        <f t="shared" si="14"/>
        <v>72</v>
      </c>
      <c r="N309" s="87" t="s">
        <v>142</v>
      </c>
    </row>
    <row r="310" spans="2:14" ht="16.350000000000001" customHeight="1">
      <c r="B310" s="23"/>
      <c r="D310" s="140"/>
      <c r="F310" s="139">
        <f>DASHBOARD!$D$101/E302</f>
        <v>0.25046172307205083</v>
      </c>
      <c r="G310" s="42" t="s">
        <v>14</v>
      </c>
      <c r="H310" s="3">
        <f>DASHBOARD!$D$35</f>
        <v>24.612000000000002</v>
      </c>
      <c r="I310" s="11">
        <f>DASHBOARD!$D$150*(100/60)*(8/7)</f>
        <v>7.6190476190476186</v>
      </c>
      <c r="J310" s="11">
        <v>1</v>
      </c>
      <c r="K310" s="11">
        <f>D268*E302*F310*I310*J310</f>
        <v>0</v>
      </c>
      <c r="L310" s="4">
        <f t="shared" si="14"/>
        <v>187.52</v>
      </c>
      <c r="M310" s="1" t="s">
        <v>50</v>
      </c>
      <c r="N310" s="87" t="s">
        <v>133</v>
      </c>
    </row>
    <row r="311" spans="2:14" ht="16.350000000000001" customHeight="1">
      <c r="B311" s="23"/>
      <c r="D311" s="140"/>
      <c r="F311" s="133" t="s">
        <v>331</v>
      </c>
      <c r="G311" s="42" t="s">
        <v>31</v>
      </c>
      <c r="H311" s="3">
        <f>DASHBOARD!$D$44</f>
        <v>48</v>
      </c>
      <c r="I311" s="11">
        <f>SUM(I315:I317)*(1/100)</f>
        <v>0.17672380952380951</v>
      </c>
      <c r="J311" s="11">
        <v>1</v>
      </c>
      <c r="K311" s="11">
        <f>D268*E302*F310*I311*J311</f>
        <v>0</v>
      </c>
      <c r="L311" s="4">
        <f t="shared" si="14"/>
        <v>8.4827428571428563</v>
      </c>
      <c r="M311" s="1" t="s">
        <v>136</v>
      </c>
      <c r="N311" s="87" t="s">
        <v>115</v>
      </c>
    </row>
    <row r="312" spans="2:14" ht="16.350000000000001" customHeight="1">
      <c r="B312" s="23"/>
      <c r="D312" s="140"/>
      <c r="G312" s="42" t="s">
        <v>32</v>
      </c>
      <c r="H312" s="3">
        <f>DASHBOARD!$D$49</f>
        <v>58.847999999999999</v>
      </c>
      <c r="I312" s="11">
        <f>SUM(I315:I317)*(1/10)</f>
        <v>1.7672380952380953</v>
      </c>
      <c r="J312" s="11">
        <v>1</v>
      </c>
      <c r="K312" s="11">
        <f>D268*E302*F310*I312*J312</f>
        <v>0</v>
      </c>
      <c r="L312" s="4">
        <f t="shared" si="14"/>
        <v>103.99842742857143</v>
      </c>
      <c r="M312" s="1" t="s">
        <v>137</v>
      </c>
      <c r="N312" s="87" t="s">
        <v>134</v>
      </c>
    </row>
    <row r="313" spans="2:14" ht="16.350000000000001" customHeight="1">
      <c r="B313" s="23"/>
      <c r="D313" s="140"/>
      <c r="G313" s="42" t="s">
        <v>33</v>
      </c>
      <c r="H313" s="3">
        <f>DASHBOARD!$D$50</f>
        <v>39</v>
      </c>
      <c r="I313" s="11">
        <f>SUM(I315:I317)*(1/33)</f>
        <v>0.53552669552669552</v>
      </c>
      <c r="J313" s="11">
        <v>1</v>
      </c>
      <c r="K313" s="11">
        <f>D268*E302*F310*I313*J313</f>
        <v>0</v>
      </c>
      <c r="L313" s="4">
        <f t="shared" si="14"/>
        <v>20.885541125541124</v>
      </c>
      <c r="M313" s="1" t="s">
        <v>138</v>
      </c>
      <c r="N313" s="87" t="s">
        <v>115</v>
      </c>
    </row>
    <row r="314" spans="2:14" ht="16.350000000000001" customHeight="1">
      <c r="B314" s="23"/>
      <c r="D314" s="140"/>
      <c r="G314" s="42" t="s">
        <v>34</v>
      </c>
      <c r="H314" s="3">
        <f>DASHBOARD!$D$51</f>
        <v>43.199999999999996</v>
      </c>
      <c r="I314" s="11">
        <f>SUM(I315:I317)*(1/100)</f>
        <v>0.17672380952380951</v>
      </c>
      <c r="J314" s="11">
        <v>1</v>
      </c>
      <c r="K314" s="11">
        <f>D268*E302*F310*I314*J314</f>
        <v>0</v>
      </c>
      <c r="L314" s="4">
        <f t="shared" si="14"/>
        <v>7.6344685714285703</v>
      </c>
      <c r="M314" s="1" t="s">
        <v>136</v>
      </c>
      <c r="N314" s="87" t="s">
        <v>135</v>
      </c>
    </row>
    <row r="315" spans="2:14" ht="16.350000000000001" customHeight="1">
      <c r="B315" s="23"/>
      <c r="D315" s="140"/>
      <c r="F315" s="2" t="s">
        <v>451</v>
      </c>
      <c r="G315" s="42" t="s">
        <v>27</v>
      </c>
      <c r="H315" s="3">
        <f>DASHBOARD!$D$39</f>
        <v>30</v>
      </c>
      <c r="I315" s="11">
        <f>5*(8/7)</f>
        <v>5.7142857142857135</v>
      </c>
      <c r="J315" s="11">
        <v>1</v>
      </c>
      <c r="K315" s="11">
        <f>D268*E302*F310*I315*J315</f>
        <v>0</v>
      </c>
      <c r="L315" s="4">
        <f t="shared" si="14"/>
        <v>171.42857142857142</v>
      </c>
      <c r="M315" s="1" t="s">
        <v>48</v>
      </c>
      <c r="N315" s="87" t="s">
        <v>115</v>
      </c>
    </row>
    <row r="316" spans="2:14" ht="16.350000000000001" customHeight="1">
      <c r="B316" s="23"/>
      <c r="D316" s="140"/>
      <c r="F316" s="2" t="s">
        <v>452</v>
      </c>
      <c r="G316" s="42" t="s">
        <v>27</v>
      </c>
      <c r="H316" s="3">
        <f>DASHBOARD!$D$39</f>
        <v>30</v>
      </c>
      <c r="I316" s="11">
        <f>2.13*(8/7)</f>
        <v>2.4342857142857142</v>
      </c>
      <c r="J316" s="11">
        <v>1</v>
      </c>
      <c r="K316" s="11">
        <f>D268*E302*F310*I316*J316</f>
        <v>0</v>
      </c>
      <c r="L316" s="4">
        <f t="shared" si="14"/>
        <v>73.028571428571425</v>
      </c>
      <c r="M316" s="1" t="s">
        <v>49</v>
      </c>
      <c r="N316" s="87" t="s">
        <v>115</v>
      </c>
    </row>
    <row r="317" spans="2:14" ht="16.350000000000001" customHeight="1">
      <c r="B317" s="23"/>
      <c r="D317" s="140"/>
      <c r="F317" s="2" t="s">
        <v>453</v>
      </c>
      <c r="G317" s="66" t="s">
        <v>27</v>
      </c>
      <c r="H317" s="3">
        <f>DASHBOARD!$D$39</f>
        <v>30</v>
      </c>
      <c r="I317" s="11">
        <f>(DASHBOARD!$D$153*100)/60*(8/7)</f>
        <v>9.5238095238095237</v>
      </c>
      <c r="J317" s="11">
        <v>1</v>
      </c>
      <c r="K317" s="11">
        <f>D268*E302*F310*I317*J317</f>
        <v>0</v>
      </c>
      <c r="L317" s="4">
        <f t="shared" si="14"/>
        <v>285.71428571428572</v>
      </c>
      <c r="M317" s="27" t="s">
        <v>171</v>
      </c>
      <c r="N317" s="87" t="s">
        <v>115</v>
      </c>
    </row>
    <row r="318" spans="2:14" ht="16.350000000000001" customHeight="1">
      <c r="B318" s="23"/>
      <c r="D318" s="140"/>
      <c r="G318" s="1" t="s">
        <v>41</v>
      </c>
      <c r="H318" s="3">
        <f>DASHBOARD!$D$57</f>
        <v>3.95</v>
      </c>
      <c r="I318" s="11">
        <v>1</v>
      </c>
      <c r="J318" s="55">
        <f>2*SUM(I315:I317)/8</f>
        <v>4.4180952380952379</v>
      </c>
      <c r="K318" s="55"/>
      <c r="L318" s="4">
        <f t="shared" si="14"/>
        <v>17.451476190476189</v>
      </c>
      <c r="M318" s="1" t="s">
        <v>139</v>
      </c>
      <c r="N318" s="87" t="s">
        <v>117</v>
      </c>
    </row>
    <row r="319" spans="2:14" ht="16.350000000000001" customHeight="1">
      <c r="B319" s="23"/>
      <c r="D319" s="140"/>
      <c r="G319" s="1" t="s">
        <v>9</v>
      </c>
      <c r="H319" s="3">
        <f>DASHBOARD!$D$58</f>
        <v>13.95</v>
      </c>
      <c r="I319" s="11">
        <v>1</v>
      </c>
      <c r="J319" s="55">
        <f>2*SUM(I315:I317)/8</f>
        <v>4.4180952380952379</v>
      </c>
      <c r="K319" s="55"/>
      <c r="L319" s="4">
        <f t="shared" si="14"/>
        <v>61.632428571428562</v>
      </c>
      <c r="M319" s="1" t="s">
        <v>139</v>
      </c>
      <c r="N319" s="87" t="s">
        <v>118</v>
      </c>
    </row>
    <row r="320" spans="2:14" ht="16.350000000000001" customHeight="1">
      <c r="B320" s="23"/>
      <c r="D320" s="140"/>
      <c r="G320" s="1" t="s">
        <v>16</v>
      </c>
      <c r="H320" s="3">
        <f>DASHBOARD!$D$59</f>
        <v>0.23960000000000001</v>
      </c>
      <c r="I320" s="11">
        <v>1</v>
      </c>
      <c r="J320" s="55">
        <f>ROUNDUP(I310/8,0)+(ROUNDUP(I315/8,0)+ROUNDUP(I316/8,0)+ROUNDUP(I317/8,0))*(100/DASHBOARD!$D$121)</f>
        <v>9.5106382978723403</v>
      </c>
      <c r="K320" s="55"/>
      <c r="L320" s="4">
        <f t="shared" si="14"/>
        <v>2.2787489361702127</v>
      </c>
      <c r="M320" s="1" t="s">
        <v>140</v>
      </c>
      <c r="N320" s="87" t="s">
        <v>119</v>
      </c>
    </row>
    <row r="321" spans="2:14" ht="16.350000000000001" customHeight="1">
      <c r="B321" s="23"/>
      <c r="D321" s="140"/>
      <c r="G321" s="1" t="s">
        <v>10</v>
      </c>
      <c r="H321" s="3">
        <f>DASHBOARD!$D$60</f>
        <v>1.7004999999999999</v>
      </c>
      <c r="I321" s="11">
        <v>1</v>
      </c>
      <c r="J321" s="55">
        <f>2*SUM(I315:I317)/8</f>
        <v>4.4180952380952379</v>
      </c>
      <c r="K321" s="55"/>
      <c r="L321" s="4">
        <f t="shared" si="14"/>
        <v>7.5129709523809511</v>
      </c>
      <c r="M321" s="1" t="s">
        <v>139</v>
      </c>
      <c r="N321" s="87" t="s">
        <v>119</v>
      </c>
    </row>
    <row r="322" spans="2:14" ht="16.350000000000001" customHeight="1">
      <c r="B322" s="23"/>
      <c r="D322" s="140"/>
      <c r="G322" s="1" t="s">
        <v>28</v>
      </c>
      <c r="H322" s="3">
        <f>DASHBOARD!$D$75</f>
        <v>12.16</v>
      </c>
      <c r="I322" s="11">
        <v>1</v>
      </c>
      <c r="J322" s="11">
        <v>100</v>
      </c>
      <c r="K322" s="11"/>
      <c r="L322" s="4">
        <f t="shared" si="14"/>
        <v>1216</v>
      </c>
      <c r="N322" s="87" t="s">
        <v>141</v>
      </c>
    </row>
    <row r="323" spans="2:14" ht="16.350000000000001" customHeight="1">
      <c r="B323" s="23"/>
      <c r="D323" s="140"/>
      <c r="G323" s="1" t="s">
        <v>29</v>
      </c>
      <c r="H323" s="3">
        <f>DASHBOARD!$D$76</f>
        <v>0.72</v>
      </c>
      <c r="I323" s="11">
        <v>1</v>
      </c>
      <c r="J323" s="11">
        <v>100</v>
      </c>
      <c r="K323" s="11"/>
      <c r="L323" s="4">
        <f t="shared" si="14"/>
        <v>72</v>
      </c>
      <c r="N323" s="87" t="s">
        <v>142</v>
      </c>
    </row>
    <row r="324" spans="2:14" ht="21" customHeight="1">
      <c r="B324" s="23"/>
      <c r="C324" s="26">
        <f>C268</f>
        <v>113360</v>
      </c>
      <c r="D324" s="244">
        <f>DASHBOARD!$D$112*DASHBOARD!$D$139</f>
        <v>0</v>
      </c>
      <c r="E324" s="21" t="s">
        <v>413</v>
      </c>
      <c r="F324" s="2">
        <v>1</v>
      </c>
      <c r="G324" s="42" t="s">
        <v>14</v>
      </c>
      <c r="H324" s="3">
        <f>DASHBOARD!$D$35</f>
        <v>24.612000000000002</v>
      </c>
      <c r="I324" s="11">
        <f>DASHBOARD!$D$150*(100/60)*(8/7)</f>
        <v>7.6190476190476186</v>
      </c>
      <c r="J324" s="11">
        <v>1</v>
      </c>
      <c r="K324" s="11">
        <f>D324*I324*J324</f>
        <v>0</v>
      </c>
      <c r="L324" s="4">
        <f>H324*I324*J324*D324</f>
        <v>0</v>
      </c>
      <c r="M324" s="1" t="s">
        <v>50</v>
      </c>
      <c r="N324" s="87" t="s">
        <v>133</v>
      </c>
    </row>
    <row r="325" spans="2:14">
      <c r="B325" s="23"/>
      <c r="D325" s="193" t="s">
        <v>380</v>
      </c>
      <c r="F325" s="133" t="s">
        <v>406</v>
      </c>
      <c r="G325" s="42" t="s">
        <v>31</v>
      </c>
      <c r="H325" s="3">
        <f>DASHBOARD!$D$44</f>
        <v>48</v>
      </c>
      <c r="I325" s="11">
        <f>SUM(I329:I331)*(1/100)</f>
        <v>1.8285714285714287E-2</v>
      </c>
      <c r="J325" s="11">
        <v>1</v>
      </c>
      <c r="K325" s="11">
        <f>D324*I325*J325</f>
        <v>0</v>
      </c>
      <c r="L325" s="4">
        <f>H325*I325*J325*D324</f>
        <v>0</v>
      </c>
      <c r="M325" s="1" t="s">
        <v>136</v>
      </c>
      <c r="N325" s="87" t="s">
        <v>115</v>
      </c>
    </row>
    <row r="326" spans="2:14">
      <c r="B326" s="23"/>
      <c r="D326" s="244"/>
      <c r="F326" s="133" t="s">
        <v>403</v>
      </c>
      <c r="G326" s="42" t="s">
        <v>32</v>
      </c>
      <c r="H326" s="3">
        <f>DASHBOARD!$D$49</f>
        <v>58.847999999999999</v>
      </c>
      <c r="I326" s="11">
        <f>SUM(I329:I331)*(1/10)</f>
        <v>0.18285714285714288</v>
      </c>
      <c r="J326" s="11">
        <v>1</v>
      </c>
      <c r="K326" s="11">
        <f>D324*I326*J326</f>
        <v>0</v>
      </c>
      <c r="L326" s="4">
        <f>H326*I326*J326*D324</f>
        <v>0</v>
      </c>
      <c r="M326" s="1" t="s">
        <v>137</v>
      </c>
      <c r="N326" s="87" t="s">
        <v>134</v>
      </c>
    </row>
    <row r="327" spans="2:14">
      <c r="B327" s="23"/>
      <c r="D327" s="244"/>
      <c r="F327" s="133" t="s">
        <v>404</v>
      </c>
      <c r="G327" s="42" t="s">
        <v>33</v>
      </c>
      <c r="H327" s="3">
        <f>DASHBOARD!$D$50</f>
        <v>39</v>
      </c>
      <c r="I327" s="11">
        <f>SUM(I329:I331)*(1/33)</f>
        <v>5.5411255411255418E-2</v>
      </c>
      <c r="J327" s="11">
        <v>1</v>
      </c>
      <c r="K327" s="11">
        <f>D324*I327*J327</f>
        <v>0</v>
      </c>
      <c r="L327" s="4">
        <f>H327*I327*J327*D324</f>
        <v>0</v>
      </c>
      <c r="M327" s="1" t="s">
        <v>138</v>
      </c>
      <c r="N327" s="87" t="s">
        <v>115</v>
      </c>
    </row>
    <row r="328" spans="2:14">
      <c r="B328" s="23"/>
      <c r="D328" s="244"/>
      <c r="F328" s="133" t="s">
        <v>405</v>
      </c>
      <c r="G328" s="42" t="s">
        <v>34</v>
      </c>
      <c r="H328" s="3">
        <f>DASHBOARD!$D$51</f>
        <v>43.199999999999996</v>
      </c>
      <c r="I328" s="11">
        <f>SUM(I329:I331)*(1/100)</f>
        <v>1.8285714285714287E-2</v>
      </c>
      <c r="J328" s="11">
        <v>1</v>
      </c>
      <c r="K328" s="11">
        <f>D324*I328*J328</f>
        <v>0</v>
      </c>
      <c r="L328" s="4">
        <f>H328*I328*J328*D324</f>
        <v>0</v>
      </c>
      <c r="M328" s="1" t="s">
        <v>136</v>
      </c>
      <c r="N328" s="87" t="s">
        <v>135</v>
      </c>
    </row>
    <row r="329" spans="2:14">
      <c r="B329" s="23"/>
      <c r="D329" s="244"/>
      <c r="F329" s="2" t="s">
        <v>451</v>
      </c>
      <c r="G329" s="42" t="s">
        <v>27</v>
      </c>
      <c r="H329" s="3">
        <f>DASHBOARD!$D$39</f>
        <v>30</v>
      </c>
      <c r="I329" s="11">
        <f>DASHBOARD!$D$117*(100/60)*(8/7)</f>
        <v>0.38095238095238099</v>
      </c>
      <c r="J329" s="11">
        <v>1</v>
      </c>
      <c r="K329" s="11">
        <f>D324*I329*J329</f>
        <v>0</v>
      </c>
      <c r="L329" s="4">
        <f>H329*I329*J329*D324</f>
        <v>0</v>
      </c>
      <c r="M329" s="1" t="s">
        <v>461</v>
      </c>
      <c r="N329" s="88" t="s">
        <v>463</v>
      </c>
    </row>
    <row r="330" spans="2:14" ht="15" customHeight="1">
      <c r="B330" s="23"/>
      <c r="D330" s="244"/>
      <c r="F330" s="2" t="s">
        <v>405</v>
      </c>
      <c r="G330" s="42" t="s">
        <v>27</v>
      </c>
      <c r="H330" s="3">
        <f>DASHBOARD!$D$39</f>
        <v>30</v>
      </c>
      <c r="I330" s="11">
        <f>DASHBOARD!$D$118*(100/60)*(8/7)</f>
        <v>0.59523809523809523</v>
      </c>
      <c r="J330" s="11">
        <v>1</v>
      </c>
      <c r="K330" s="11">
        <f>D324*I330*J330</f>
        <v>0</v>
      </c>
      <c r="L330" s="4">
        <f>H330*I330*J330*D324</f>
        <v>0</v>
      </c>
      <c r="M330" s="72" t="s">
        <v>462</v>
      </c>
      <c r="N330" s="88" t="s">
        <v>464</v>
      </c>
    </row>
    <row r="331" spans="2:14">
      <c r="B331" s="23"/>
      <c r="D331" s="244"/>
      <c r="F331" s="2" t="s">
        <v>453</v>
      </c>
      <c r="G331" s="66" t="s">
        <v>27</v>
      </c>
      <c r="H331" s="3">
        <f>DASHBOARD!$D$39</f>
        <v>30</v>
      </c>
      <c r="I331" s="11">
        <f>DASHBOARD!$D$119*(100/60)*(8/7)</f>
        <v>0.85238095238095235</v>
      </c>
      <c r="J331" s="11">
        <v>1</v>
      </c>
      <c r="K331" s="11">
        <f>D324*I331*J331</f>
        <v>0</v>
      </c>
      <c r="L331" s="4">
        <f>H331*I331*J331*D324</f>
        <v>0</v>
      </c>
      <c r="M331" s="160" t="s">
        <v>402</v>
      </c>
      <c r="N331" s="87" t="s">
        <v>115</v>
      </c>
    </row>
    <row r="332" spans="2:14">
      <c r="B332" s="23"/>
      <c r="D332" s="244"/>
      <c r="G332" s="1" t="s">
        <v>41</v>
      </c>
      <c r="H332" s="3">
        <f>DASHBOARD!$D$57</f>
        <v>3.95</v>
      </c>
      <c r="I332" s="11">
        <v>1</v>
      </c>
      <c r="J332" s="55">
        <f>2*SUM(I329:I331)/8</f>
        <v>0.45714285714285718</v>
      </c>
      <c r="K332" s="55"/>
      <c r="L332" s="4">
        <f>H332*I332*J332*D324</f>
        <v>0</v>
      </c>
      <c r="M332" s="1" t="s">
        <v>139</v>
      </c>
      <c r="N332" s="87" t="s">
        <v>117</v>
      </c>
    </row>
    <row r="333" spans="2:14">
      <c r="B333" s="23"/>
      <c r="D333" s="244"/>
      <c r="G333" s="1" t="s">
        <v>9</v>
      </c>
      <c r="H333" s="3">
        <f>DASHBOARD!$D$58</f>
        <v>13.95</v>
      </c>
      <c r="I333" s="11">
        <v>1</v>
      </c>
      <c r="J333" s="55">
        <f>2*SUM(I329:I331)/8</f>
        <v>0.45714285714285718</v>
      </c>
      <c r="K333" s="55"/>
      <c r="L333" s="4">
        <f>H333*I333*J333*D324</f>
        <v>0</v>
      </c>
      <c r="M333" s="1" t="s">
        <v>139</v>
      </c>
      <c r="N333" s="87" t="s">
        <v>118</v>
      </c>
    </row>
    <row r="334" spans="2:14">
      <c r="B334" s="23"/>
      <c r="D334" s="244"/>
      <c r="G334" s="1" t="s">
        <v>16</v>
      </c>
      <c r="H334" s="3">
        <f>DASHBOARD!$D$59</f>
        <v>0.23960000000000001</v>
      </c>
      <c r="I334" s="11">
        <v>1</v>
      </c>
      <c r="J334" s="55">
        <f>ROUNDUP(I324/8,0)+(ROUNDUP(I329/8,0)+ROUNDUP(I330/8,0)+ROUNDUP(I331/8,0))*(100/DASHBOARD!$D$121)</f>
        <v>7.3829787234042552</v>
      </c>
      <c r="K334" s="55"/>
      <c r="L334" s="4">
        <f>H334*I334*J334*D324</f>
        <v>0</v>
      </c>
      <c r="M334" s="1" t="s">
        <v>140</v>
      </c>
      <c r="N334" s="87" t="s">
        <v>119</v>
      </c>
    </row>
    <row r="335" spans="2:14">
      <c r="B335" s="23"/>
      <c r="D335" s="244"/>
      <c r="G335" s="1" t="s">
        <v>10</v>
      </c>
      <c r="H335" s="3">
        <f>DASHBOARD!$D$60</f>
        <v>1.7004999999999999</v>
      </c>
      <c r="I335" s="11">
        <v>1</v>
      </c>
      <c r="J335" s="55">
        <f>2*SUM(I329:I331)/8</f>
        <v>0.45714285714285718</v>
      </c>
      <c r="K335" s="55"/>
      <c r="L335" s="4">
        <f>H335*I335*J335*D324</f>
        <v>0</v>
      </c>
      <c r="M335" s="1" t="s">
        <v>139</v>
      </c>
      <c r="N335" s="87" t="s">
        <v>119</v>
      </c>
    </row>
    <row r="336" spans="2:14">
      <c r="B336" s="23"/>
      <c r="D336" s="244"/>
      <c r="G336" s="1" t="s">
        <v>414</v>
      </c>
      <c r="H336" s="3">
        <f>DASHBOARD!$D$74</f>
        <v>20</v>
      </c>
      <c r="I336" s="11">
        <v>1</v>
      </c>
      <c r="J336" s="11">
        <v>100</v>
      </c>
      <c r="K336" s="11"/>
      <c r="L336" s="4">
        <f>H336*I336*J336*D324</f>
        <v>0</v>
      </c>
      <c r="M336" s="1" t="s">
        <v>415</v>
      </c>
      <c r="N336" s="87" t="s">
        <v>141</v>
      </c>
    </row>
    <row r="337" spans="2:14" ht="21" customHeight="1" thickBot="1">
      <c r="B337" s="9" t="s">
        <v>7</v>
      </c>
      <c r="C337" s="10"/>
      <c r="D337" s="14"/>
      <c r="E337" s="20"/>
      <c r="F337" s="14"/>
      <c r="G337" s="10"/>
      <c r="H337" s="549" t="s">
        <v>81</v>
      </c>
      <c r="I337" s="549"/>
      <c r="J337" s="549"/>
      <c r="K337" s="243"/>
      <c r="L337" s="70">
        <f>(D240*F240*SUM(L240:L253))+(D240*F254*SUM(L254:L267))+(D268*E274*F268*SUM(L268:L281))+(D268*E274*F282*SUM(L282:L295))+(D268*E302*F296*SUM(L296:L309))+(D268*E302*F310*SUM(L310:L323))+SUM(L324:L336)</f>
        <v>1990.339059707655</v>
      </c>
      <c r="M337" s="69" t="str">
        <f>"Per Person Cost is "&amp;ROUND(L337/100,2)&amp;" and the cost per "&amp;$C$4&amp;" people is "&amp;ROUND(L337/100*$C$4,2)</f>
        <v>Per Person Cost is 19.9 and the cost per 113360 people is 2256248.36</v>
      </c>
    </row>
    <row r="338" spans="2:14" ht="22.35" customHeight="1">
      <c r="B338" s="24" t="s">
        <v>26</v>
      </c>
      <c r="C338" s="26">
        <f>C4</f>
        <v>113360</v>
      </c>
      <c r="D338" s="2">
        <f>1*DASHBOARD!$D$139</f>
        <v>1</v>
      </c>
      <c r="E338" s="21">
        <v>1</v>
      </c>
      <c r="F338" s="2">
        <f>1-C8</f>
        <v>0.99877000000000005</v>
      </c>
      <c r="G338" s="42" t="s">
        <v>14</v>
      </c>
      <c r="H338" s="3">
        <f>DASHBOARD!D35</f>
        <v>24.612000000000002</v>
      </c>
      <c r="I338" s="32">
        <f>1.67*(8/7)*DASHBOARD!$D$131</f>
        <v>1.9085714285714284</v>
      </c>
      <c r="J338" s="1">
        <v>1</v>
      </c>
      <c r="K338" s="1">
        <f>F338*I338*J338</f>
        <v>1.9062238857142857</v>
      </c>
      <c r="L338" s="4">
        <f>H338*I338*J338</f>
        <v>46.973759999999999</v>
      </c>
      <c r="M338" s="1" t="s">
        <v>79</v>
      </c>
      <c r="N338" s="87" t="s">
        <v>133</v>
      </c>
    </row>
    <row r="339" spans="2:14" ht="22.35" customHeight="1">
      <c r="B339" s="24"/>
      <c r="C339" s="26"/>
      <c r="F339" s="2" t="s">
        <v>457</v>
      </c>
      <c r="G339" s="42" t="s">
        <v>17</v>
      </c>
      <c r="H339" s="3">
        <f>DASHBOARD!D36</f>
        <v>45.12</v>
      </c>
      <c r="I339" s="32">
        <f>I338/5</f>
        <v>0.38171428571428567</v>
      </c>
      <c r="J339" s="1">
        <v>1</v>
      </c>
      <c r="K339" s="1">
        <f>F338*I339*J339</f>
        <v>0.38124477714285709</v>
      </c>
      <c r="L339" s="4">
        <f>H339*I339*J339</f>
        <v>17.222948571428567</v>
      </c>
      <c r="N339" s="87" t="s">
        <v>112</v>
      </c>
    </row>
    <row r="340" spans="2:14">
      <c r="B340" s="24"/>
      <c r="F340" s="2">
        <f>C8</f>
        <v>1.23E-3</v>
      </c>
      <c r="G340" s="42" t="s">
        <v>17</v>
      </c>
      <c r="H340" s="3">
        <f>DASHBOARD!D36</f>
        <v>45.12</v>
      </c>
      <c r="I340" s="32">
        <v>8</v>
      </c>
      <c r="J340" s="1">
        <f>4.16*(8/7)</f>
        <v>4.7542857142857144</v>
      </c>
      <c r="K340" s="1">
        <f>F340*I340*J340</f>
        <v>4.6782171428571426E-2</v>
      </c>
      <c r="L340" s="4">
        <f>H340*I340*J340</f>
        <v>1716.1069714285713</v>
      </c>
      <c r="M340" s="1" t="s">
        <v>96</v>
      </c>
      <c r="N340" s="87" t="s">
        <v>112</v>
      </c>
    </row>
    <row r="341" spans="2:14" ht="16.350000000000001" customHeight="1" thickBot="1">
      <c r="B341" s="9" t="s">
        <v>7</v>
      </c>
      <c r="C341" s="10"/>
      <c r="D341" s="14"/>
      <c r="E341" s="20"/>
      <c r="F341" s="14"/>
      <c r="G341" s="10"/>
      <c r="H341" s="549" t="s">
        <v>81</v>
      </c>
      <c r="I341" s="549"/>
      <c r="J341" s="549"/>
      <c r="K341" s="243"/>
      <c r="L341" s="70">
        <f>(D338*F338*SUM(L338:L339))+(D338*F340*L340)</f>
        <v>66.228558194742845</v>
      </c>
      <c r="M341" s="69" t="str">
        <f>"Per Person Cost is "&amp;ROUND(L341/100,2)&amp;" and the cost per "&amp;$C$4&amp;" people is "&amp;ROUND(L341/100*$C$4,2)</f>
        <v>Per Person Cost is 0.66 and the cost per 113360 people is 75076.69</v>
      </c>
    </row>
    <row r="342" spans="2:14">
      <c r="B342" s="25" t="s">
        <v>173</v>
      </c>
      <c r="C342" s="26">
        <f>C4</f>
        <v>113360</v>
      </c>
      <c r="D342" s="2">
        <f>1*DASHBOARD!$D$139</f>
        <v>1</v>
      </c>
      <c r="E342" s="21">
        <v>1</v>
      </c>
      <c r="F342" s="2">
        <f>1-C8</f>
        <v>0.99877000000000005</v>
      </c>
      <c r="G342" s="1" t="s">
        <v>30</v>
      </c>
      <c r="H342" s="3">
        <v>0</v>
      </c>
      <c r="I342" s="32">
        <v>0</v>
      </c>
      <c r="J342" s="1">
        <v>0</v>
      </c>
      <c r="L342" s="4">
        <f>H342*I342*J342</f>
        <v>0</v>
      </c>
    </row>
    <row r="343" spans="2:14" ht="22.35" customHeight="1">
      <c r="B343" s="25"/>
      <c r="F343" s="2">
        <f>C8</f>
        <v>1.23E-3</v>
      </c>
      <c r="G343" s="42" t="s">
        <v>17</v>
      </c>
      <c r="H343" s="3">
        <f>DASHBOARD!$D$36</f>
        <v>45.12</v>
      </c>
      <c r="I343" s="32">
        <f>8*DASHBOARD!$D$133</f>
        <v>8</v>
      </c>
      <c r="J343" s="1">
        <v>12.5</v>
      </c>
      <c r="K343" s="1">
        <f>$F$343*I343*J343</f>
        <v>0.123</v>
      </c>
      <c r="L343" s="4">
        <f>H343*I343*J343</f>
        <v>4512</v>
      </c>
      <c r="M343" s="1" t="s">
        <v>298</v>
      </c>
      <c r="N343" s="87" t="s">
        <v>112</v>
      </c>
    </row>
    <row r="344" spans="2:14" ht="33" customHeight="1">
      <c r="B344" s="25"/>
      <c r="D344" s="137">
        <f>DASHBOARD!$D$137</f>
        <v>0</v>
      </c>
      <c r="G344" s="42" t="s">
        <v>14</v>
      </c>
      <c r="H344" s="3">
        <f>DASHBOARD!$D$35</f>
        <v>24.612000000000002</v>
      </c>
      <c r="I344" s="32">
        <f>8*DASHBOARD!$D$133</f>
        <v>8</v>
      </c>
      <c r="J344" s="1">
        <f>7.14*(DASHBOARD!$D$106+DASHBOARD!$D$107)/5</f>
        <v>22.847999999999999</v>
      </c>
      <c r="K344" s="1">
        <f t="shared" ref="K344:K349" si="15">$F$343*I344*J344</f>
        <v>0.22482431999999999</v>
      </c>
      <c r="L344" s="4">
        <f>H344*I344*J344</f>
        <v>4498.6798079999999</v>
      </c>
      <c r="M344" s="1" t="s">
        <v>309</v>
      </c>
      <c r="N344" s="87"/>
    </row>
    <row r="345" spans="2:14" ht="33" customHeight="1">
      <c r="B345" s="25"/>
      <c r="D345" s="254" t="s">
        <v>496</v>
      </c>
      <c r="F345" s="2" t="s">
        <v>454</v>
      </c>
      <c r="G345" s="132" t="s">
        <v>450</v>
      </c>
      <c r="H345" s="3">
        <f>DASHBOARD!$D$52</f>
        <v>48</v>
      </c>
      <c r="I345" s="32">
        <v>8</v>
      </c>
      <c r="J345" s="11">
        <f>SUM(J343:J344)/5.5</f>
        <v>6.4269090909090911</v>
      </c>
      <c r="K345" s="1">
        <f t="shared" si="15"/>
        <v>6.3240785454545451E-2</v>
      </c>
      <c r="L345" s="4">
        <f>H345*I345*J345</f>
        <v>2467.9330909090909</v>
      </c>
      <c r="M345" s="1" t="s">
        <v>300</v>
      </c>
      <c r="N345" s="87"/>
    </row>
    <row r="346" spans="2:14" ht="33" customHeight="1">
      <c r="B346" s="25"/>
      <c r="F346" s="2" t="s">
        <v>455</v>
      </c>
      <c r="G346" s="132" t="s">
        <v>180</v>
      </c>
      <c r="H346" s="3">
        <f>DASHBOARD!$D$53</f>
        <v>121.78799999999998</v>
      </c>
      <c r="I346" s="32">
        <v>8</v>
      </c>
      <c r="J346" s="11">
        <f>SUM(J343:J344)/27.5</f>
        <v>1.2853818181818182</v>
      </c>
      <c r="K346" s="1">
        <f>$F$343*I346*J346</f>
        <v>1.2648157090909091E-2</v>
      </c>
      <c r="L346" s="4">
        <f t="shared" ref="L346:L349" si="16">H346*I346*J346</f>
        <v>1252.352646981818</v>
      </c>
      <c r="M346" s="1" t="s">
        <v>308</v>
      </c>
      <c r="N346" s="87"/>
    </row>
    <row r="347" spans="2:14" ht="33" customHeight="1">
      <c r="B347" s="25"/>
      <c r="F347" s="2" t="s">
        <v>455</v>
      </c>
      <c r="G347" s="132" t="s">
        <v>458</v>
      </c>
      <c r="H347" s="3">
        <f>DASHBOARD!$D$45</f>
        <v>54.804000000000002</v>
      </c>
      <c r="I347" s="1">
        <v>8</v>
      </c>
      <c r="J347" s="11">
        <f>SUM(J343:J344)/27.5</f>
        <v>1.2853818181818182</v>
      </c>
      <c r="K347" s="1">
        <f t="shared" si="15"/>
        <v>1.2648157090909091E-2</v>
      </c>
      <c r="L347" s="4">
        <f t="shared" si="16"/>
        <v>563.55252130909093</v>
      </c>
      <c r="M347" s="1" t="s">
        <v>302</v>
      </c>
      <c r="N347" s="87" t="s">
        <v>112</v>
      </c>
    </row>
    <row r="348" spans="2:14" ht="33" customHeight="1">
      <c r="B348" s="25"/>
      <c r="G348" s="132" t="s">
        <v>353</v>
      </c>
      <c r="H348" s="3">
        <f>DASHBOARD!$D$54</f>
        <v>60</v>
      </c>
      <c r="I348" s="1">
        <v>8</v>
      </c>
      <c r="J348" s="11">
        <f>SUM(J343:J344)/9.167*DASHBOARD!$D$130</f>
        <v>3.85600523617323</v>
      </c>
      <c r="K348" s="1">
        <f t="shared" si="15"/>
        <v>3.794309152394458E-2</v>
      </c>
      <c r="L348" s="4">
        <f t="shared" si="16"/>
        <v>1850.8825133631503</v>
      </c>
      <c r="M348" s="1" t="s">
        <v>305</v>
      </c>
      <c r="N348" s="87"/>
    </row>
    <row r="349" spans="2:14" ht="33" customHeight="1">
      <c r="B349" s="25"/>
      <c r="F349" s="2" t="s">
        <v>456</v>
      </c>
      <c r="G349" s="42" t="s">
        <v>14</v>
      </c>
      <c r="H349" s="3">
        <f>DASHBOARD!$D$35</f>
        <v>24.612000000000002</v>
      </c>
      <c r="I349" s="32">
        <v>8</v>
      </c>
      <c r="J349" s="11">
        <f>SUM(J343:J344)/2.2*DASHBOARD!$D$129</f>
        <v>16.067272727272726</v>
      </c>
      <c r="K349" s="1">
        <f t="shared" si="15"/>
        <v>0.15810196363636361</v>
      </c>
      <c r="L349" s="4">
        <f t="shared" si="16"/>
        <v>3163.5817309090912</v>
      </c>
      <c r="M349" s="1" t="s">
        <v>310</v>
      </c>
      <c r="N349" s="87"/>
    </row>
    <row r="350" spans="2:14" ht="33" customHeight="1">
      <c r="B350" s="25"/>
      <c r="D350" s="144"/>
      <c r="G350" s="42" t="s">
        <v>109</v>
      </c>
      <c r="L350" s="4">
        <f>(L341+L337+L239+L223)*((C4-DASHBOARD!D83)/C4*20+(DASHBOARD!D83)/C4*10+2)*D344</f>
        <v>0</v>
      </c>
      <c r="M350" s="1" t="s">
        <v>108</v>
      </c>
      <c r="N350" s="3"/>
    </row>
    <row r="351" spans="2:14" ht="63">
      <c r="B351" s="25"/>
      <c r="G351" s="42" t="s">
        <v>203</v>
      </c>
      <c r="L351" s="4">
        <f>'Expanded Contact Investigaton'!L285*C6*0</f>
        <v>0</v>
      </c>
      <c r="M351" s="1" t="s">
        <v>110</v>
      </c>
      <c r="N351" s="3"/>
    </row>
    <row r="352" spans="2:14" ht="23.1" customHeight="1" thickBot="1">
      <c r="B352" s="9" t="s">
        <v>7</v>
      </c>
      <c r="C352" s="10"/>
      <c r="D352" s="14"/>
      <c r="E352" s="20"/>
      <c r="F352" s="14"/>
      <c r="G352" s="10"/>
      <c r="H352" s="549" t="s">
        <v>81</v>
      </c>
      <c r="I352" s="549"/>
      <c r="J352" s="549"/>
      <c r="K352" s="243"/>
      <c r="L352" s="70">
        <f>((C342*D342*F342*L342)+(C342*D342*F343*SUM(L343:L351)))/100/C342*100</f>
        <v>22.52004824311086</v>
      </c>
      <c r="M352" s="69" t="str">
        <f>"Per Person Cost is "&amp;ROUND(L352/100,2)&amp;" and the cost per "&amp;$C$4&amp;" people is "&amp;ROUND(L352/100*$C$4,2)</f>
        <v>Per Person Cost is 0.23 and the cost per 113360 people is 25528.73</v>
      </c>
    </row>
    <row r="353" spans="2:13" ht="19.5" thickBot="1">
      <c r="B353" s="62" t="s">
        <v>53</v>
      </c>
      <c r="C353" s="63">
        <v>100</v>
      </c>
      <c r="D353" s="64" t="s">
        <v>54</v>
      </c>
      <c r="E353" s="59"/>
      <c r="F353" s="58"/>
      <c r="G353" s="57"/>
      <c r="H353" s="60"/>
      <c r="I353" s="61"/>
      <c r="J353" s="57"/>
      <c r="K353" s="57"/>
      <c r="L353" s="65">
        <f>SUM(L22,L223,L239,L337,L341,L352)</f>
        <v>12554.234367418416</v>
      </c>
      <c r="M353" s="69" t="str">
        <f>"Per Person Cost is "&amp;ROUND(L353/100,2)&amp;" and the cost per "&amp;$C$4&amp;" people is "&amp;ROUND(L353/100*$C$4,2)</f>
        <v>Per Person Cost is 125.54 and the cost per 113360 people is 14231480.08</v>
      </c>
    </row>
    <row r="356" spans="2:13" ht="21">
      <c r="B356" s="550" t="s">
        <v>56</v>
      </c>
      <c r="C356" s="550"/>
    </row>
    <row r="357" spans="2:13">
      <c r="B357" s="68" t="s">
        <v>57</v>
      </c>
      <c r="C357" s="68" t="s">
        <v>92</v>
      </c>
    </row>
    <row r="358" spans="2:13">
      <c r="B358" s="68" t="s">
        <v>60</v>
      </c>
      <c r="C358" s="68" t="s">
        <v>93</v>
      </c>
    </row>
    <row r="359" spans="2:13">
      <c r="B359" s="68"/>
      <c r="C359" s="68" t="s">
        <v>73</v>
      </c>
    </row>
    <row r="360" spans="2:13">
      <c r="B360" s="68" t="s">
        <v>65</v>
      </c>
      <c r="C360" s="68" t="s">
        <v>66</v>
      </c>
    </row>
    <row r="361" spans="2:13">
      <c r="B361" s="68"/>
      <c r="C361" s="68" t="s">
        <v>67</v>
      </c>
    </row>
    <row r="362" spans="2:13">
      <c r="B362" s="68" t="s">
        <v>68</v>
      </c>
      <c r="C362" s="68" t="s">
        <v>69</v>
      </c>
    </row>
    <row r="363" spans="2:13">
      <c r="B363" s="68"/>
      <c r="C363" s="68" t="s">
        <v>70</v>
      </c>
    </row>
    <row r="364" spans="2:13">
      <c r="B364" s="68"/>
      <c r="C364" s="68" t="s">
        <v>94</v>
      </c>
    </row>
    <row r="365" spans="2:13">
      <c r="B365" s="68"/>
      <c r="C365" s="68" t="s">
        <v>95</v>
      </c>
    </row>
    <row r="366" spans="2:13">
      <c r="B366" s="68" t="s">
        <v>71</v>
      </c>
      <c r="C366" s="68" t="s">
        <v>61</v>
      </c>
    </row>
    <row r="367" spans="2:13">
      <c r="B367" s="68"/>
      <c r="C367" s="68" t="s">
        <v>58</v>
      </c>
    </row>
    <row r="368" spans="2:13">
      <c r="B368" s="68" t="s">
        <v>72</v>
      </c>
      <c r="C368" s="68" t="s">
        <v>61</v>
      </c>
    </row>
    <row r="369" spans="2:3">
      <c r="B369" s="68"/>
      <c r="C369" s="68" t="s">
        <v>58</v>
      </c>
    </row>
  </sheetData>
  <sheetProtection algorithmName="SHA-512" hashValue="2GhmW8dtw9HxPO9neyz9eXq2fp9H5sQPQlEIopwBW2H7Wjh7FG63m/2vOG5g4rSkLnv1Z4fx2RHd2IUkMmrJmQ==" saltValue="WRWgqN36YlwAvOosQcmJYA==" spinCount="100000" sheet="1" objects="1" scenarios="1"/>
  <mergeCells count="8">
    <mergeCell ref="H352:J352"/>
    <mergeCell ref="B356:C356"/>
    <mergeCell ref="B2:D2"/>
    <mergeCell ref="H22:J22"/>
    <mergeCell ref="H223:J223"/>
    <mergeCell ref="H239:J239"/>
    <mergeCell ref="H337:J337"/>
    <mergeCell ref="H341:J341"/>
  </mergeCells>
  <hyperlinks>
    <hyperlink ref="N17" r:id="rId1" xr:uid="{2CF4E378-CF32-4652-A4F3-F4A59191918E}"/>
    <hyperlink ref="N225" r:id="rId2" location="ListeFonctPrinc" xr:uid="{47E32551-7F5E-4541-B3B6-5F63AE10E69C}"/>
    <hyperlink ref="N226" r:id="rId3" display="https://www.caaquebec.com/en/on-the-road/public-interest/gasoline-matters/gasoline-watch/" xr:uid="{E2467529-09B4-4876-8E9D-82A69F9D57B1}"/>
    <hyperlink ref="N229" r:id="rId4" xr:uid="{1BFA8AE4-D02D-485A-9AC3-79D8E4ABBC39}"/>
    <hyperlink ref="N228" r:id="rId5" xr:uid="{AC0C0CBE-C157-4498-B8CA-5F072A52E845}"/>
    <hyperlink ref="N240" r:id="rId6" xr:uid="{70E37F1B-C229-4DB2-8B56-81A77F5A9AA7}"/>
    <hyperlink ref="N241" r:id="rId7" xr:uid="{6B1182A0-BF92-4998-ACDC-F3C4E84018EA}"/>
    <hyperlink ref="N243" r:id="rId8" xr:uid="{2DCB8A20-2C30-435F-B432-BCF83BDF2C65}"/>
    <hyperlink ref="N245" r:id="rId9" xr:uid="{E539D621-74FB-410A-BB8D-DE500CAFFEAF}"/>
    <hyperlink ref="N246" r:id="rId10" xr:uid="{14B1E41F-C140-465D-8F7D-DDE10817EA8C}"/>
    <hyperlink ref="N247" r:id="rId11" xr:uid="{C7D02E34-C105-43FB-BC92-6C9B04DA53CF}"/>
    <hyperlink ref="N242" r:id="rId12" xr:uid="{5A34A99E-7710-4F8D-9E67-D2BFAE49EA55}"/>
    <hyperlink ref="N244" r:id="rId13" xr:uid="{EDDFE9EA-199A-49A5-AB1E-A1DE3858669D}"/>
    <hyperlink ref="N251" r:id="rId14" location="srp" xr:uid="{CB030642-C8DC-4815-A6E0-54D9F40D4846}"/>
    <hyperlink ref="N250" r:id="rId15" location="srp" xr:uid="{985883C7-0882-4E54-858E-B8F49E24D847}"/>
    <hyperlink ref="N249" r:id="rId16" xr:uid="{18524417-4DB4-4A41-8529-25E01C69F5C1}"/>
    <hyperlink ref="N248" r:id="rId17" xr:uid="{921EB2DD-E61B-4C5D-94AC-8866934B6988}"/>
    <hyperlink ref="N252" r:id="rId18" xr:uid="{CC3FF429-A5E5-4D67-A245-516028024AB6}"/>
    <hyperlink ref="N253" r:id="rId19" xr:uid="{33E3FE83-7CBD-4E7D-83D7-B2ADA496AEA9}"/>
    <hyperlink ref="N254" r:id="rId20" xr:uid="{91329810-BB6F-42D9-BA3E-090A559793CB}"/>
    <hyperlink ref="N255" r:id="rId21" xr:uid="{6115B603-C15F-413D-A070-0F65B8F4D1C1}"/>
    <hyperlink ref="N257" r:id="rId22" xr:uid="{0368830F-8F4E-42D6-B5E2-946B089DEF05}"/>
    <hyperlink ref="N259" r:id="rId23" xr:uid="{FF98C88B-C044-4351-BDF6-BCF764C069B3}"/>
    <hyperlink ref="N260" r:id="rId24" xr:uid="{0E02A364-679C-4D23-B3DE-E3509310A959}"/>
    <hyperlink ref="N261" r:id="rId25" xr:uid="{D31457D1-9D7C-44E1-9D97-2F89AD1AE50C}"/>
    <hyperlink ref="N256" r:id="rId26" xr:uid="{D6DC0FEA-AF2C-483A-81BB-FE3B7E810A81}"/>
    <hyperlink ref="N258" r:id="rId27" xr:uid="{BCD2DF7C-ADE8-4725-BFB9-CDDD19B4944B}"/>
    <hyperlink ref="N265" r:id="rId28" location="srp" xr:uid="{0971C400-1CBE-42A8-A8EE-BFA03705F75B}"/>
    <hyperlink ref="N264" r:id="rId29" location="srp" xr:uid="{CFD494D3-FE73-4C0F-B4D3-D1B884C7C665}"/>
    <hyperlink ref="N263" r:id="rId30" xr:uid="{9E0222CC-98B5-49B9-8146-AB09828514EA}"/>
    <hyperlink ref="N262" r:id="rId31" xr:uid="{A4C87EF7-70A7-47B5-B1EA-2CBAFDA698E2}"/>
    <hyperlink ref="N266" r:id="rId32" xr:uid="{CD1E96F4-6F80-4096-A037-93134588E6EA}"/>
    <hyperlink ref="N267" r:id="rId33" xr:uid="{6F280D2E-E8D7-460A-9AFD-E8D1CE530C6B}"/>
    <hyperlink ref="N338" r:id="rId34" xr:uid="{7A8045FC-1165-4932-B773-34ED57C3EBFF}"/>
    <hyperlink ref="N339" r:id="rId35" xr:uid="{2D86AF79-38D5-4406-9C6E-A26A518ED780}"/>
    <hyperlink ref="N340" r:id="rId36" xr:uid="{FE345C07-2F7D-4CBD-B433-B27B3B7E07C8}"/>
    <hyperlink ref="N232" r:id="rId37" location="ListeFonctPrinc" xr:uid="{4DE0135D-8E2E-4D21-BA8D-164495D17748}"/>
    <hyperlink ref="N233" r:id="rId38" display="https://www.caaquebec.com/en/on-the-road/public-interest/gasoline-matters/gasoline-watch/" xr:uid="{8C44C011-D463-4AD6-A0E2-26A5BF3A96FE}"/>
    <hyperlink ref="N236" r:id="rId39" xr:uid="{727E8F94-4660-47F3-B14D-F0DB285B3A3F}"/>
    <hyperlink ref="N235" r:id="rId40" xr:uid="{D1C426CF-BD12-4DF3-A71C-536E69303E68}"/>
    <hyperlink ref="N18" r:id="rId41" xr:uid="{A6107E0A-8425-4E9C-9BB9-B6FF03A1E1D6}"/>
    <hyperlink ref="N21" r:id="rId42" xr:uid="{D6028FAE-9AAD-4F3A-8ADF-E094F96B2C01}"/>
    <hyperlink ref="N343" r:id="rId43" xr:uid="{E1F82738-8047-4A6D-8110-89DFAF70A1FB}"/>
    <hyperlink ref="N347" r:id="rId44" xr:uid="{32A85C8E-762B-42CA-8926-00C9E3196F23}"/>
    <hyperlink ref="N268" r:id="rId45" xr:uid="{08EF7F4F-FF44-524A-999C-AE1D3D831120}"/>
    <hyperlink ref="N269" r:id="rId46" xr:uid="{0355D2C5-3C4B-0D40-99B7-B86D6342F371}"/>
    <hyperlink ref="N271" r:id="rId47" xr:uid="{64A9929D-994E-4144-9A2C-4A592FE63322}"/>
    <hyperlink ref="N273" r:id="rId48" xr:uid="{95549716-5B47-E040-84C4-DA47FEE477B3}"/>
    <hyperlink ref="N274" r:id="rId49" xr:uid="{217DC0E0-FDA3-2645-9EC1-1FE22F5B13B8}"/>
    <hyperlink ref="N275" r:id="rId50" xr:uid="{DB7D20F5-0457-554E-BB4E-91066C433FA6}"/>
    <hyperlink ref="N270" r:id="rId51" xr:uid="{EFE59F98-A02C-CD4E-ACB2-F609F8A15BD0}"/>
    <hyperlink ref="N272" r:id="rId52" xr:uid="{DC84C641-C89E-4F42-828E-1AAE0AFCEB7B}"/>
    <hyperlink ref="N279" r:id="rId53" location="srp" xr:uid="{3FC8CD89-A832-0843-8149-6237D0E4EECD}"/>
    <hyperlink ref="N278" r:id="rId54" location="srp" xr:uid="{782E9279-49DF-1044-B3E2-E2762D6EFD0E}"/>
    <hyperlink ref="N277" r:id="rId55" xr:uid="{593D9B33-2976-C641-8839-8B1B1B3757B9}"/>
    <hyperlink ref="N276" r:id="rId56" xr:uid="{F366EE54-1BA4-D54F-85A8-C465D3030C7D}"/>
    <hyperlink ref="N280" r:id="rId57" xr:uid="{4E3E250E-C3A4-0A44-A9D1-3DE77DE202C3}"/>
    <hyperlink ref="N281" r:id="rId58" xr:uid="{ADBE63F6-8271-3445-8CB2-51F02AA30973}"/>
    <hyperlink ref="N282" r:id="rId59" xr:uid="{3C5AEB2E-C3BC-C74D-9E80-8A7BAFBD052E}"/>
    <hyperlink ref="N283" r:id="rId60" xr:uid="{833F6914-B207-D94E-9C74-8FAE0EFA4867}"/>
    <hyperlink ref="N285" r:id="rId61" xr:uid="{B2F9DB61-B8AD-1641-BC61-EA1859EFA9D6}"/>
    <hyperlink ref="N287" r:id="rId62" xr:uid="{A9095963-9FB3-F845-A1C9-8C88B92E2252}"/>
    <hyperlink ref="N288" r:id="rId63" xr:uid="{57A4ECA5-376C-D541-9975-DED99894179E}"/>
    <hyperlink ref="N289" r:id="rId64" xr:uid="{A1BA75B9-AB72-3843-BEA8-149C11F4DA05}"/>
    <hyperlink ref="N284" r:id="rId65" xr:uid="{162425CE-1B28-1C41-BDAD-0D31AE43A1DE}"/>
    <hyperlink ref="N286" r:id="rId66" xr:uid="{56F70776-A30C-AA42-A0EB-4CFB9412FD29}"/>
    <hyperlink ref="N293" r:id="rId67" location="srp" xr:uid="{A80D8EA9-5264-3C4C-9A26-33A5B0B8D8B6}"/>
    <hyperlink ref="N292" r:id="rId68" location="srp" xr:uid="{1EA61E84-58B2-F745-A6B2-2EDF1C9FF458}"/>
    <hyperlink ref="N291" r:id="rId69" xr:uid="{01F463BA-4635-D746-B60F-A0DDF2B531C9}"/>
    <hyperlink ref="N290" r:id="rId70" xr:uid="{05C016FD-3689-D54E-B381-577AD29EAD77}"/>
    <hyperlink ref="N294" r:id="rId71" xr:uid="{7FC4BFE1-4F07-2C46-A2D3-455EA287D776}"/>
    <hyperlink ref="N295" r:id="rId72" xr:uid="{AA581125-45A2-4640-B2C4-C9C25C8C9674}"/>
    <hyperlink ref="N296" r:id="rId73" xr:uid="{F1F26F48-93F9-134F-891C-E9AAF3704728}"/>
    <hyperlink ref="N297" r:id="rId74" xr:uid="{3E1C64B5-A314-5A41-8197-056BEA9390BC}"/>
    <hyperlink ref="N299" r:id="rId75" xr:uid="{9741AD11-AEAB-754D-A21A-90AC329F1CB4}"/>
    <hyperlink ref="N301" r:id="rId76" xr:uid="{148940C3-AB20-B74F-9267-43699F1DFA56}"/>
    <hyperlink ref="N302" r:id="rId77" xr:uid="{262AFC41-11FF-6E42-9F20-8D214E2FFEA8}"/>
    <hyperlink ref="N303" r:id="rId78" xr:uid="{C009E36F-B54D-0D45-B622-7C35FCD405C6}"/>
    <hyperlink ref="N298" r:id="rId79" xr:uid="{660B8121-32DD-5B4B-BEDF-30CE1F2811A3}"/>
    <hyperlink ref="N300" r:id="rId80" xr:uid="{247DF3A3-E830-B849-A982-87ACD146AF3D}"/>
    <hyperlink ref="N307" r:id="rId81" location="srp" xr:uid="{DF534166-3C2B-4844-99AB-C9C89F1F5542}"/>
    <hyperlink ref="N306" r:id="rId82" location="srp" xr:uid="{57618F06-7BF9-ED40-B156-C41550BA28CC}"/>
    <hyperlink ref="N305" r:id="rId83" xr:uid="{E53D107C-DAB2-064F-8896-AAD3ECA5BB61}"/>
    <hyperlink ref="N304" r:id="rId84" xr:uid="{AFB1FB3F-99E5-9D4F-9AF0-7DD7609C9A6B}"/>
    <hyperlink ref="N308" r:id="rId85" xr:uid="{E26AB003-5342-FB47-B2EE-F1B74F291D91}"/>
    <hyperlink ref="N309" r:id="rId86" xr:uid="{71BC99FB-1DC5-3B46-911E-3BBAF99CDF96}"/>
    <hyperlink ref="N310" r:id="rId87" xr:uid="{A03E5C74-6D42-A841-9DF1-AB893F85220B}"/>
    <hyperlink ref="N311" r:id="rId88" xr:uid="{B08D5C16-4C7A-7E44-8393-F6AC9DA7CE7C}"/>
    <hyperlink ref="N313" r:id="rId89" xr:uid="{C26F13FE-79E0-B549-A576-4B967708142C}"/>
    <hyperlink ref="N315" r:id="rId90" xr:uid="{8D2C6B85-436A-5C42-A5FF-5CA1BA27ACF7}"/>
    <hyperlink ref="N316" r:id="rId91" xr:uid="{A515A21C-AEA3-2B41-8146-E1B2618C3DEC}"/>
    <hyperlink ref="N317" r:id="rId92" xr:uid="{D9F08D84-B442-B24B-9D91-3C071B281073}"/>
    <hyperlink ref="N312" r:id="rId93" xr:uid="{29392767-B01B-6545-99C1-E51876A3DC0C}"/>
    <hyperlink ref="N314" r:id="rId94" xr:uid="{1DCFEBD1-5DCE-AE49-BA81-8B41A7F6AE83}"/>
    <hyperlink ref="N321" r:id="rId95" location="srp" xr:uid="{5D2F9BA8-65BE-9F4E-AE0D-010D2C8441C1}"/>
    <hyperlink ref="N320" r:id="rId96" location="srp" xr:uid="{28B32A4E-6645-184B-B690-9560E0B529DC}"/>
    <hyperlink ref="N319" r:id="rId97" xr:uid="{BAFBE0E9-E1B0-0C47-AA1F-58957DF48A8D}"/>
    <hyperlink ref="N318" r:id="rId98" xr:uid="{6409FCC3-ED93-F046-910F-97E8DE6DD422}"/>
    <hyperlink ref="N322" r:id="rId99" xr:uid="{4347A979-244F-B641-963A-3969707F88CA}"/>
    <hyperlink ref="N323" r:id="rId100" xr:uid="{9AB9E33D-0383-7548-A465-A9B39D85BF88}"/>
    <hyperlink ref="N231" r:id="rId101" xr:uid="{20070BC1-52FB-3546-BFEB-FDBAA1191CD9}"/>
    <hyperlink ref="N230" r:id="rId102" xr:uid="{E1732C18-8553-EF4B-AB2B-E2FA9DBB2E3B}"/>
    <hyperlink ref="N238" r:id="rId103" xr:uid="{4068D75A-250D-7F41-A5C7-2D90D1CE0487}"/>
    <hyperlink ref="N237" r:id="rId104" xr:uid="{390672DD-AE49-CD49-AE5E-4AE712A57776}"/>
    <hyperlink ref="N324" r:id="rId105" xr:uid="{EB5133AB-F9FB-5643-BA99-C9AD6BE8E0D8}"/>
    <hyperlink ref="N325" r:id="rId106" xr:uid="{0A3B14EE-FC51-0342-ABBE-B21AC12BD509}"/>
    <hyperlink ref="N327" r:id="rId107" xr:uid="{6CB11698-75D0-714C-BDA7-881219985AEE}"/>
    <hyperlink ref="N329" r:id="rId108" xr:uid="{2F26D6EF-9500-4144-A88B-D5593C0D042C}"/>
    <hyperlink ref="N330" r:id="rId109" xr:uid="{FD86C202-15B7-C44A-A7B2-4ABE2C13D9D3}"/>
    <hyperlink ref="N331" r:id="rId110" xr:uid="{49D15ED2-C0FB-584B-B25A-1DC1107F0ABB}"/>
    <hyperlink ref="N326" r:id="rId111" xr:uid="{ED144725-776F-B94D-9DFD-63B4CEA8B377}"/>
    <hyperlink ref="N328" r:id="rId112" xr:uid="{D34B6ABE-FD0F-DF4F-A940-351369C53298}"/>
    <hyperlink ref="N335" r:id="rId113" location="srp" xr:uid="{94EA6155-A41C-714D-9D61-9648EBFAC9E0}"/>
    <hyperlink ref="N334" r:id="rId114" location="srp" xr:uid="{51183054-4FBE-654C-BD31-2BA601B70DDE}"/>
    <hyperlink ref="N333" r:id="rId115" xr:uid="{AE26DB06-F997-024B-969D-6795E64D56A2}"/>
    <hyperlink ref="N332" r:id="rId116" xr:uid="{03F88052-059F-A54E-83D6-13DCCB1EDAAA}"/>
    <hyperlink ref="N336" r:id="rId117" xr:uid="{3FA26D9A-2F96-724A-8472-AD1BCCA98402}"/>
    <hyperlink ref="N32" r:id="rId118" location="srp" xr:uid="{DF02C355-C30F-5F45-9B8A-A341A522C806}"/>
    <hyperlink ref="N31" r:id="rId119" location="srp" xr:uid="{AD37F86E-FDC2-C94A-BDE2-CDEA86F68E5E}"/>
    <hyperlink ref="N30" r:id="rId120" xr:uid="{5354F850-AA00-CA43-A581-83300337A1A7}"/>
    <hyperlink ref="N29" r:id="rId121" xr:uid="{15970782-F5B4-F640-B091-8529FA070616}"/>
    <hyperlink ref="N28" r:id="rId122" xr:uid="{710B7C38-E238-364E-B8F5-4ADC41EAE3E4}"/>
    <hyperlink ref="N117" r:id="rId123" xr:uid="{30C1419B-5ACA-974D-9446-0A1C08EE9E67}"/>
    <hyperlink ref="N118" r:id="rId124" xr:uid="{37BCB5A9-704B-4641-BB91-D1D92FC04D52}"/>
    <hyperlink ref="N119" r:id="rId125" xr:uid="{B5720FE1-0115-1244-8631-6DA7E2012EE5}"/>
    <hyperlink ref="N120" r:id="rId126" xr:uid="{8940347F-53F1-3B46-91D2-85A86A1AC933}"/>
    <hyperlink ref="N121" r:id="rId127" xr:uid="{8B0DD1C5-A8D9-3343-BEDD-07859DE4CBB8}"/>
    <hyperlink ref="N127" r:id="rId128" location="srp" xr:uid="{19F16967-0D36-7248-9899-A86CC24FD3B4}"/>
    <hyperlink ref="N126" r:id="rId129" location="srp" xr:uid="{732C5093-33F4-974B-9D8D-8B846FE5BFEC}"/>
    <hyperlink ref="N125" r:id="rId130" xr:uid="{96222AEE-763C-1944-B095-AFA1A3A319D8}"/>
    <hyperlink ref="N124" r:id="rId131" xr:uid="{5B4DB2C3-CA6F-6444-AF4C-32C5A5E24329}"/>
    <hyperlink ref="N123" r:id="rId132" xr:uid="{849FC44F-6CF4-3648-9DA9-BFDA3ECCB234}"/>
    <hyperlink ref="N143" r:id="rId133" xr:uid="{696DC857-7D73-3E48-A5C2-5F5B344B82E6}"/>
    <hyperlink ref="N144" r:id="rId134" xr:uid="{C90DFD64-8519-B145-A108-26F2F68DE530}"/>
    <hyperlink ref="N145" r:id="rId135" xr:uid="{D5B25442-2FFF-1E45-8AD4-F7C0F7BB395D}"/>
    <hyperlink ref="N146" r:id="rId136" xr:uid="{7C6B5D6D-1632-3142-8EE9-53683C437261}"/>
    <hyperlink ref="N147" r:id="rId137" xr:uid="{01B7578E-652B-6443-BE1C-B9AAE721313E}"/>
    <hyperlink ref="N153" r:id="rId138" location="srp" xr:uid="{C68ED262-5B86-FD48-8346-F24EF60C11AD}"/>
    <hyperlink ref="N152" r:id="rId139" location="srp" xr:uid="{E70D6AD5-BC02-694B-94F8-43053EC86FE7}"/>
    <hyperlink ref="N151" r:id="rId140" xr:uid="{C6B2FA67-8788-EF40-92DE-C6829283FE1E}"/>
    <hyperlink ref="N150" r:id="rId141" xr:uid="{84CF38B1-39CF-7C42-96BB-56B3214BFA40}"/>
    <hyperlink ref="N149" r:id="rId142" xr:uid="{D5C7D89D-4CE2-D34C-98BD-DD013C7293CC}"/>
    <hyperlink ref="N27" r:id="rId143" xr:uid="{F8EE9A66-B401-1A4C-96C7-CA54BCE86E2F}"/>
    <hyperlink ref="N56" r:id="rId144" location="srp" xr:uid="{B18212E1-9F9B-C945-9627-34F1EFA8B4AF}"/>
    <hyperlink ref="N55" r:id="rId145" location="srp" xr:uid="{824EBB19-AD11-0D47-A92B-23F4B5A6ED59}"/>
    <hyperlink ref="N54" r:id="rId146" xr:uid="{45B750A1-820A-134F-8D78-5FDD182182FC}"/>
    <hyperlink ref="N53" r:id="rId147" xr:uid="{E7D35EC7-4842-EB49-A11F-C1107647B76A}"/>
    <hyperlink ref="N52" r:id="rId148" xr:uid="{3170E4CC-5529-4F41-B58F-404A0066FC7C}"/>
    <hyperlink ref="N51" r:id="rId149" xr:uid="{3EB4D681-E7F3-2C4A-A46D-7E1A7838F291}"/>
    <hyperlink ref="N72" r:id="rId150" xr:uid="{BC544B6D-41AC-1F40-AA7F-B54B3071249B}"/>
    <hyperlink ref="N73" r:id="rId151" xr:uid="{90D458E4-09ED-F346-A09E-107A68D87194}"/>
    <hyperlink ref="N74" r:id="rId152" xr:uid="{A013EC7E-0578-B148-ABEE-C23FF0AF371F}"/>
    <hyperlink ref="N80" r:id="rId153" location="srp" xr:uid="{1D52EA15-C5ED-D940-963E-592A387E2924}"/>
    <hyperlink ref="N79" r:id="rId154" location="srp" xr:uid="{EF0B9FD6-6113-F443-943A-C3627DB4D032}"/>
    <hyperlink ref="N78" r:id="rId155" xr:uid="{95B81E91-CA0B-2D48-B840-F0381CC4B3A1}"/>
    <hyperlink ref="N77" r:id="rId156" xr:uid="{20A550D8-9E6F-7240-BDB4-17EABCBFB6C4}"/>
    <hyperlink ref="N76" r:id="rId157" xr:uid="{AC8DDE82-AD9E-C349-8F5E-E674E0D61CDB}"/>
    <hyperlink ref="N95" r:id="rId158" xr:uid="{4B5CB64B-D7C9-D04E-A95A-31AD365CA7E0}"/>
    <hyperlink ref="N96" r:id="rId159" xr:uid="{4B69417E-F04A-6248-8C9C-C520411CE395}"/>
    <hyperlink ref="N97" r:id="rId160" xr:uid="{9FACAA09-AE9D-7243-A7B8-1AF60393B722}"/>
    <hyperlink ref="N103" r:id="rId161" location="srp" xr:uid="{EF715066-0F56-914C-AB1A-6DE0AC0FC1E5}"/>
    <hyperlink ref="N102" r:id="rId162" location="srp" xr:uid="{75402E69-C570-0644-B19F-FE07E95FF5CB}"/>
    <hyperlink ref="N101" r:id="rId163" xr:uid="{3B6B0016-FD5E-6343-BF94-7976A85433A6}"/>
    <hyperlink ref="N100" r:id="rId164" xr:uid="{CDBACC3C-CB16-F340-8765-9BADDA2471F1}"/>
    <hyperlink ref="N99" r:id="rId165" xr:uid="{01619E8D-09B4-5947-9AE2-B6BA1AA6C7E6}"/>
    <hyperlink ref="N39" r:id="rId166" location="?keyword=blood+lancet" display="https://www.fishersci.ca/shop/products/bd-micro-fine-contact-activated-lancet-3/p-3491417 - ?keyword=blood+lancet" xr:uid="{E9F5A339-2AC0-2B4A-89F5-1088C3704790}"/>
    <hyperlink ref="N63" r:id="rId167" location="?keyword=blood+lancet" display="https://www.fishersci.ca/shop/products/bd-micro-fine-contact-activated-lancet-3/p-3491417 - ?keyword=blood+lancet" xr:uid="{D8567BD7-9A25-514D-A298-51DFC54F21DA}"/>
    <hyperlink ref="N86" r:id="rId168" location="?keyword=blood+lancet" display="https://www.fishersci.ca/shop/products/bd-micro-fine-contact-activated-lancet-3/p-3491417 - ?keyword=blood+lancet" xr:uid="{FDDAB817-26D5-C546-B69A-FDC0E28593F6}"/>
    <hyperlink ref="N109" r:id="rId169" location="?keyword=blood+lancet" display="https://www.fishersci.ca/shop/products/bd-micro-fine-contact-activated-lancet-3/p-3491417 - ?keyword=blood+lancet" xr:uid="{3FDB9B93-45EB-1E4B-A256-CCE725D4F8B8}"/>
    <hyperlink ref="N135" r:id="rId170" location="?keyword=blood+lancet" display="https://www.fishersci.ca/shop/products/bd-micro-fine-contact-activated-lancet-3/p-3491417 - ?keyword=blood+lancet" xr:uid="{D78809A5-BA96-334B-A3DA-10774877789F}"/>
    <hyperlink ref="N161" r:id="rId171" location="?keyword=blood+lancet" display="https://www.fishersci.ca/shop/products/bd-micro-fine-contact-activated-lancet-3/p-3491417 - ?keyword=blood+lancet" xr:uid="{8201E151-EB66-2F45-8841-1C4C657A877F}"/>
    <hyperlink ref="N188" r:id="rId172" location="?keyword=blood+lancet" display="https://www.fishersci.ca/shop/products/bd-micro-fine-contact-activated-lancet-3/p-3491417 - ?keyword=blood+lancet" xr:uid="{902D79E2-FA47-CA46-9E0B-BE3EFFC3D45C}"/>
    <hyperlink ref="N215" r:id="rId173" location="?keyword=blood+lancet" display="https://www.fishersci.ca/shop/products/bd-micro-fine-contact-activated-lancet-3/p-3491417 - ?keyword=blood+lancet" xr:uid="{1D09D8D9-DC4A-2C42-9A34-3FB168E58718}"/>
    <hyperlink ref="N196" r:id="rId174" xr:uid="{770F224D-0A9E-9544-8120-77FD7C6D2F35}"/>
    <hyperlink ref="N197" r:id="rId175" xr:uid="{64C7DD72-DDFB-FB48-99A4-F14A9ACD8F2B}"/>
    <hyperlink ref="N198" r:id="rId176" xr:uid="{0BC0F9F3-83A8-E343-87A9-4CAAA10265E8}"/>
    <hyperlink ref="N169" r:id="rId177" xr:uid="{6789C6C2-EB8C-234C-BD43-3B6A8E1A1161}"/>
    <hyperlink ref="N170" r:id="rId178" xr:uid="{3B87AEA8-73E9-F24F-9E4B-D9D57AD96FA5}"/>
    <hyperlink ref="N171" r:id="rId179" xr:uid="{088BD9A4-A398-5F4D-B8C9-B568B5C45D46}"/>
    <hyperlink ref="N181" r:id="rId180" location="srp" xr:uid="{3624AC0E-FDDA-D644-9559-F8C808927012}"/>
    <hyperlink ref="N180" r:id="rId181" location="srp" xr:uid="{1D1A1DD6-603A-7647-8EEB-467BA2DE9D23}"/>
    <hyperlink ref="N179" r:id="rId182" xr:uid="{E2BCF409-2DD5-6B41-8BEC-42CA2E2F589B}"/>
    <hyperlink ref="N178" r:id="rId183" xr:uid="{43B9FD33-24BB-B44A-A532-BC7E1D40544D}"/>
    <hyperlink ref="N177" r:id="rId184" xr:uid="{1B3F98CE-7336-B343-A6BD-1EECF8321C00}"/>
    <hyperlink ref="N208" r:id="rId185" location="srp" xr:uid="{87075F78-3C62-434B-91D5-8B2468467373}"/>
    <hyperlink ref="N207" r:id="rId186" location="srp" xr:uid="{D35326FA-F0AD-D045-8474-18DE317F0E77}"/>
    <hyperlink ref="N206" r:id="rId187" xr:uid="{79378A93-50D5-814A-B3A9-B434F3997C2E}"/>
    <hyperlink ref="N205" r:id="rId188" xr:uid="{9E3EF2E1-B032-8440-8824-1E168FD47766}"/>
    <hyperlink ref="N204" r:id="rId189" xr:uid="{B81570A7-47A5-764E-9F90-001B2D0FA26C}"/>
    <hyperlink ref="N104" r:id="rId190" xr:uid="{D52A07A9-0F5B-5840-8792-2A90790C8028}"/>
  </hyperlinks>
  <pageMargins left="0.7" right="0.7" top="0.75" bottom="0.75" header="0.3" footer="0.3"/>
  <legacyDrawing r:id="rId19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E5141-3281-4D09-951B-C3937455DE33}">
  <dimension ref="B2:N357"/>
  <sheetViews>
    <sheetView zoomScale="92" zoomScaleNormal="70" workbookViewId="0">
      <selection activeCell="L340" sqref="L340"/>
    </sheetView>
  </sheetViews>
  <sheetFormatPr defaultColWidth="10.625" defaultRowHeight="15.75"/>
  <cols>
    <col min="1" max="1" width="4" style="1" customWidth="1"/>
    <col min="2" max="2" width="32.125" style="1" customWidth="1"/>
    <col min="3" max="3" width="31.5" style="1" customWidth="1"/>
    <col min="4" max="4" width="21.125" style="2" customWidth="1"/>
    <col min="5" max="5" width="10.625" style="21"/>
    <col min="6" max="6" width="15.625" style="2" customWidth="1"/>
    <col min="7" max="7" width="25.125" style="1" customWidth="1"/>
    <col min="8" max="8" width="11" style="3" bestFit="1" customWidth="1"/>
    <col min="9" max="9" width="11" style="32" customWidth="1"/>
    <col min="10" max="11" width="12.625" style="1" customWidth="1"/>
    <col min="12" max="12" width="21.625" style="4" customWidth="1"/>
    <col min="13" max="13" width="99.125" style="1" customWidth="1"/>
    <col min="14" max="14" width="97" style="1" customWidth="1"/>
    <col min="15" max="16384" width="10.625" style="1"/>
  </cols>
  <sheetData>
    <row r="2" spans="2:14" ht="20.100000000000001" customHeight="1">
      <c r="B2" s="551" t="s">
        <v>88</v>
      </c>
      <c r="C2" s="551"/>
      <c r="D2" s="551"/>
    </row>
    <row r="3" spans="2:14" ht="16.5" thickBot="1"/>
    <row r="4" spans="2:14" ht="20.100000000000001" customHeight="1" thickBot="1">
      <c r="B4" s="38" t="s">
        <v>89</v>
      </c>
      <c r="C4" s="36">
        <f>DASHBOARD!D84</f>
        <v>86446</v>
      </c>
      <c r="D4" s="106"/>
    </row>
    <row r="5" spans="2:14" ht="20.100000000000001" customHeight="1">
      <c r="B5" s="38" t="s">
        <v>495</v>
      </c>
      <c r="C5" s="73">
        <f>C4-C4*DASHBOARD!AA16</f>
        <v>86423.978313729996</v>
      </c>
      <c r="D5" s="106"/>
    </row>
    <row r="6" spans="2:14" ht="22.35" customHeight="1">
      <c r="B6" s="44" t="s">
        <v>98</v>
      </c>
      <c r="C6" s="73">
        <f>DASHBOARD!D106</f>
        <v>14</v>
      </c>
      <c r="D6" s="106"/>
    </row>
    <row r="7" spans="2:14" ht="21" customHeight="1">
      <c r="B7" s="44" t="s">
        <v>99</v>
      </c>
      <c r="C7" s="73">
        <f>DASHBOARD!D107</f>
        <v>2</v>
      </c>
      <c r="D7" s="106"/>
    </row>
    <row r="8" spans="2:14" ht="32.1" customHeight="1">
      <c r="B8" s="39" t="s">
        <v>35</v>
      </c>
      <c r="C8" s="37">
        <f>DASHBOARD!D101</f>
        <v>1.23E-3</v>
      </c>
      <c r="D8" s="106"/>
    </row>
    <row r="9" spans="2:14" ht="19.350000000000001" customHeight="1">
      <c r="B9" s="81" t="s">
        <v>186</v>
      </c>
      <c r="C9" s="82">
        <f>DASHBOARD!D88</f>
        <v>87</v>
      </c>
      <c r="D9" s="106"/>
    </row>
    <row r="10" spans="2:14" ht="24" customHeight="1">
      <c r="B10" s="81" t="s">
        <v>187</v>
      </c>
      <c r="C10" s="82">
        <f>C9-DASHBOARD!D89</f>
        <v>87</v>
      </c>
      <c r="D10" s="106"/>
    </row>
    <row r="11" spans="2:14" ht="24" customHeight="1">
      <c r="B11" s="81" t="s">
        <v>188</v>
      </c>
      <c r="C11" s="82">
        <f>IF(C10=C13,1,C10-C13)</f>
        <v>76</v>
      </c>
      <c r="D11" s="106"/>
    </row>
    <row r="12" spans="2:14" ht="24" customHeight="1">
      <c r="B12" s="81" t="s">
        <v>181</v>
      </c>
      <c r="C12" s="93">
        <f>C4/C9</f>
        <v>993.63218390804593</v>
      </c>
      <c r="D12" s="106"/>
    </row>
    <row r="13" spans="2:14" ht="21" customHeight="1">
      <c r="B13" s="81" t="s">
        <v>185</v>
      </c>
      <c r="C13" s="82">
        <f>DASHBOARD!D90</f>
        <v>11</v>
      </c>
      <c r="D13" s="106"/>
    </row>
    <row r="14" spans="2:14" ht="45" customHeight="1" thickBot="1">
      <c r="B14" s="40" t="s">
        <v>39</v>
      </c>
      <c r="C14" s="35" t="s">
        <v>184</v>
      </c>
      <c r="D14" s="106"/>
    </row>
    <row r="15" spans="2:14" ht="16.5" thickBot="1">
      <c r="B15" s="28"/>
      <c r="C15" s="28"/>
      <c r="D15" s="29"/>
      <c r="E15" s="18"/>
      <c r="F15" s="29"/>
      <c r="G15" s="28"/>
      <c r="H15" s="30"/>
      <c r="I15" s="33"/>
      <c r="J15" s="28"/>
      <c r="K15" s="28"/>
      <c r="L15" s="31"/>
      <c r="M15" s="28"/>
      <c r="N15" s="28"/>
    </row>
    <row r="16" spans="2:14" ht="63.75" thickBot="1">
      <c r="B16" s="45" t="s">
        <v>0</v>
      </c>
      <c r="C16" s="45" t="s">
        <v>85</v>
      </c>
      <c r="D16" s="45" t="s">
        <v>5</v>
      </c>
      <c r="E16" s="46" t="s">
        <v>1</v>
      </c>
      <c r="F16" s="45" t="s">
        <v>4</v>
      </c>
      <c r="G16" s="45" t="s">
        <v>19</v>
      </c>
      <c r="H16" s="47" t="s">
        <v>37</v>
      </c>
      <c r="I16" s="48" t="s">
        <v>42</v>
      </c>
      <c r="J16" s="45" t="s">
        <v>20</v>
      </c>
      <c r="K16" s="45" t="s">
        <v>459</v>
      </c>
      <c r="L16" s="49" t="s">
        <v>3</v>
      </c>
      <c r="M16" s="50" t="s">
        <v>36</v>
      </c>
      <c r="N16" s="86" t="s">
        <v>125</v>
      </c>
    </row>
    <row r="17" spans="2:14" ht="26.1" customHeight="1">
      <c r="B17" s="15" t="s">
        <v>2</v>
      </c>
      <c r="C17" s="8">
        <f>C4</f>
        <v>86446</v>
      </c>
      <c r="D17" s="13">
        <v>1</v>
      </c>
      <c r="E17" s="19">
        <v>1</v>
      </c>
      <c r="F17" s="13">
        <v>1</v>
      </c>
      <c r="G17" s="42" t="s">
        <v>14</v>
      </c>
      <c r="H17" s="7">
        <f>DASHBOARD!D35</f>
        <v>24.612000000000002</v>
      </c>
      <c r="I17" s="34">
        <v>8</v>
      </c>
      <c r="J17" s="71">
        <f>0.2083333333*(8/7)*DASHBOARD!$D$131</f>
        <v>0.23809523805714286</v>
      </c>
      <c r="K17" s="71">
        <f>I17*J17</f>
        <v>1.9047619044571429</v>
      </c>
      <c r="L17" s="6">
        <f>H17*I17*J17</f>
        <v>46.879999992499201</v>
      </c>
      <c r="M17" s="1" t="s">
        <v>250</v>
      </c>
      <c r="N17" s="87" t="s">
        <v>111</v>
      </c>
    </row>
    <row r="18" spans="2:14" ht="26.1" customHeight="1">
      <c r="B18" s="15"/>
      <c r="C18" s="8"/>
      <c r="D18" s="13"/>
      <c r="E18" s="19"/>
      <c r="F18" s="13"/>
      <c r="G18" s="42" t="s">
        <v>230</v>
      </c>
      <c r="H18" s="56">
        <f>DASHBOARD!D55</f>
        <v>32.963999999999999</v>
      </c>
      <c r="I18" s="34">
        <v>0</v>
      </c>
      <c r="J18" s="71">
        <f>J17/5</f>
        <v>4.7619047611428572E-2</v>
      </c>
      <c r="K18" s="71">
        <f t="shared" ref="K18:K21" si="0">I18*J18</f>
        <v>0</v>
      </c>
      <c r="L18" s="6">
        <f>H18*I18*J18</f>
        <v>0</v>
      </c>
      <c r="M18" s="1" t="s">
        <v>245</v>
      </c>
      <c r="N18" s="87" t="s">
        <v>244</v>
      </c>
    </row>
    <row r="19" spans="2:14" ht="26.1" customHeight="1">
      <c r="B19" s="15"/>
      <c r="C19" s="8"/>
      <c r="D19" s="13"/>
      <c r="E19" s="19"/>
      <c r="F19" s="13" t="s">
        <v>179</v>
      </c>
      <c r="G19" s="42" t="s">
        <v>14</v>
      </c>
      <c r="H19" s="7">
        <f>DASHBOARD!D35</f>
        <v>24.612000000000002</v>
      </c>
      <c r="I19" s="34">
        <v>8</v>
      </c>
      <c r="J19" s="71">
        <f>((((0.5*C9)+(0.5*C17/100))/8)/C17)*100*(8/7)</f>
        <v>7.8617204464554252E-2</v>
      </c>
      <c r="K19" s="71">
        <f t="shared" si="0"/>
        <v>0.62893763571643402</v>
      </c>
      <c r="L19" s="6">
        <f>H19*I19*J19</f>
        <v>15.479413090252875</v>
      </c>
      <c r="M19" s="1" t="s">
        <v>182</v>
      </c>
      <c r="N19" s="87"/>
    </row>
    <row r="20" spans="2:14" ht="26.1" customHeight="1">
      <c r="B20" s="15"/>
      <c r="C20" s="8"/>
      <c r="D20" s="13"/>
      <c r="E20" s="19"/>
      <c r="F20" s="13"/>
      <c r="G20" s="42" t="s">
        <v>17</v>
      </c>
      <c r="H20" s="3">
        <f>DASHBOARD!D36</f>
        <v>45.12</v>
      </c>
      <c r="I20" s="34">
        <f>I19</f>
        <v>8</v>
      </c>
      <c r="J20" s="71">
        <f>J19/2</f>
        <v>3.9308602232277126E-2</v>
      </c>
      <c r="K20" s="71">
        <f t="shared" si="0"/>
        <v>0.31446881785821701</v>
      </c>
      <c r="L20" s="6">
        <f>H20*I20*J20</f>
        <v>14.18883306176275</v>
      </c>
      <c r="M20" s="1" t="s">
        <v>183</v>
      </c>
      <c r="N20" s="87"/>
    </row>
    <row r="21" spans="2:14" ht="37.35" customHeight="1">
      <c r="B21" s="15"/>
      <c r="C21" s="8"/>
      <c r="D21" s="13"/>
      <c r="E21" s="19"/>
      <c r="F21" s="13"/>
      <c r="G21" s="42" t="s">
        <v>180</v>
      </c>
      <c r="H21" s="7">
        <f>DASHBOARD!D53</f>
        <v>121.78799999999998</v>
      </c>
      <c r="I21" s="34">
        <f>I19</f>
        <v>8</v>
      </c>
      <c r="J21" s="71">
        <f>J19/2</f>
        <v>3.9308602232277126E-2</v>
      </c>
      <c r="K21" s="71">
        <f t="shared" si="0"/>
        <v>0.31446881785821701</v>
      </c>
      <c r="L21" s="6">
        <f>H21*I21*J21</f>
        <v>38.29852838931653</v>
      </c>
      <c r="M21" s="1" t="s">
        <v>247</v>
      </c>
      <c r="N21" s="87" t="s">
        <v>246</v>
      </c>
    </row>
    <row r="22" spans="2:14" ht="22.35" customHeight="1" thickBot="1">
      <c r="B22" s="9" t="s">
        <v>7</v>
      </c>
      <c r="C22" s="10"/>
      <c r="D22" s="14"/>
      <c r="E22" s="20"/>
      <c r="F22" s="14"/>
      <c r="G22" s="10"/>
      <c r="H22" s="549" t="s">
        <v>81</v>
      </c>
      <c r="I22" s="549"/>
      <c r="J22" s="549"/>
      <c r="K22" s="243"/>
      <c r="L22" s="70">
        <f>(D17*F17*L17)+((D17*F17*SUM(L19:L21)))</f>
        <v>114.84677453383136</v>
      </c>
      <c r="M22" s="69" t="str">
        <f>"Per Person Cost is "&amp;ROUND(L22/100,2)&amp;" and the cost per "&amp;$C$4&amp;" people is "&amp;ROUND(L22/100*$C$4,2)</f>
        <v>Per Person Cost is 1.15 and the cost per 86446 people is 99280.44</v>
      </c>
    </row>
    <row r="23" spans="2:14" ht="47.25">
      <c r="B23" s="16" t="s">
        <v>15</v>
      </c>
      <c r="C23" s="43">
        <f>C4</f>
        <v>86446</v>
      </c>
      <c r="D23" s="115">
        <f>(C5/C4)*DASHBOARD!$D$139</f>
        <v>0.999745255</v>
      </c>
      <c r="E23" s="21" t="s">
        <v>266</v>
      </c>
      <c r="F23" s="2">
        <f>(1-DASHBOARD!$D$128)*DASHBOARD!D123</f>
        <v>0</v>
      </c>
      <c r="G23" s="42" t="s">
        <v>14</v>
      </c>
      <c r="H23" s="3">
        <f>DASHBOARD!D35</f>
        <v>24.612000000000002</v>
      </c>
      <c r="I23" s="32">
        <v>8</v>
      </c>
      <c r="J23" s="11">
        <f>J45/2</f>
        <v>0.83333333331428561</v>
      </c>
      <c r="K23" s="11">
        <f>D23*F23*I23*J23</f>
        <v>0</v>
      </c>
      <c r="L23" s="6">
        <f t="shared" ref="L23:L96" si="1">H23*I23*J23</f>
        <v>164.0799999962496</v>
      </c>
      <c r="M23" s="72" t="s">
        <v>97</v>
      </c>
      <c r="N23" s="87" t="s">
        <v>111</v>
      </c>
    </row>
    <row r="24" spans="2:14" ht="19.350000000000001" customHeight="1">
      <c r="B24" s="16"/>
      <c r="C24" s="5"/>
      <c r="G24" s="42" t="s">
        <v>17</v>
      </c>
      <c r="H24" s="3">
        <f>DASHBOARD!D36</f>
        <v>45.12</v>
      </c>
      <c r="I24" s="32">
        <v>8</v>
      </c>
      <c r="J24" s="11">
        <f>1.25*(8/7)</f>
        <v>1.4285714285714284</v>
      </c>
      <c r="K24" s="11">
        <f>D23*F23*I24*J24</f>
        <v>0</v>
      </c>
      <c r="L24" s="6">
        <f t="shared" si="1"/>
        <v>515.65714285714273</v>
      </c>
      <c r="M24" s="1" t="s">
        <v>90</v>
      </c>
      <c r="N24" s="87" t="s">
        <v>112</v>
      </c>
    </row>
    <row r="25" spans="2:14">
      <c r="B25" s="16"/>
      <c r="C25" s="5"/>
      <c r="G25" s="42" t="s">
        <v>27</v>
      </c>
      <c r="H25" s="3">
        <f>DASHBOARD!D39</f>
        <v>30</v>
      </c>
      <c r="I25" s="32">
        <v>8</v>
      </c>
      <c r="J25" s="53">
        <v>0.1</v>
      </c>
      <c r="K25" s="11">
        <f>D23*F23*I25*J25</f>
        <v>0</v>
      </c>
      <c r="L25" s="6">
        <f t="shared" si="1"/>
        <v>24</v>
      </c>
      <c r="M25" s="1" t="s">
        <v>260</v>
      </c>
      <c r="N25" s="87" t="s">
        <v>115</v>
      </c>
    </row>
    <row r="26" spans="2:14" ht="31.5">
      <c r="B26" s="16" t="s">
        <v>276</v>
      </c>
      <c r="C26" s="5"/>
      <c r="G26" s="5" t="s">
        <v>8</v>
      </c>
      <c r="H26" s="7">
        <f>DASHBOARD!D56</f>
        <v>0.16259999999999999</v>
      </c>
      <c r="I26" s="34">
        <v>1</v>
      </c>
      <c r="J26" s="11">
        <f>4*J23</f>
        <v>3.3333333332571424</v>
      </c>
      <c r="K26" s="11"/>
      <c r="L26" s="6">
        <f t="shared" si="1"/>
        <v>0.54199999998761139</v>
      </c>
      <c r="M26" s="1" t="s">
        <v>121</v>
      </c>
      <c r="N26" s="87" t="s">
        <v>116</v>
      </c>
    </row>
    <row r="27" spans="2:14" ht="31.5">
      <c r="B27" s="16" t="s">
        <v>259</v>
      </c>
      <c r="C27" s="5"/>
      <c r="G27" s="5" t="s">
        <v>41</v>
      </c>
      <c r="H27" s="7">
        <f>DASHBOARD!D57</f>
        <v>3.95</v>
      </c>
      <c r="I27" s="34">
        <v>1</v>
      </c>
      <c r="J27" s="11">
        <f>(4*J24)+(4*J25)</f>
        <v>6.1142857142857139</v>
      </c>
      <c r="K27" s="11"/>
      <c r="L27" s="6">
        <f t="shared" si="1"/>
        <v>24.151428571428571</v>
      </c>
      <c r="M27" s="1" t="s">
        <v>122</v>
      </c>
      <c r="N27" s="87" t="s">
        <v>117</v>
      </c>
    </row>
    <row r="28" spans="2:14">
      <c r="B28" s="16"/>
      <c r="C28" s="5"/>
      <c r="G28" s="5" t="s">
        <v>9</v>
      </c>
      <c r="H28" s="7">
        <f>DASHBOARD!D58</f>
        <v>13.95</v>
      </c>
      <c r="I28" s="34">
        <v>1</v>
      </c>
      <c r="J28" s="11">
        <f>(4*J24)+(4*J25)</f>
        <v>6.1142857142857139</v>
      </c>
      <c r="K28" s="11"/>
      <c r="L28" s="6">
        <f t="shared" si="1"/>
        <v>85.294285714285706</v>
      </c>
      <c r="M28" s="1" t="s">
        <v>122</v>
      </c>
      <c r="N28" s="87" t="s">
        <v>118</v>
      </c>
    </row>
    <row r="29" spans="2:14">
      <c r="B29" s="16"/>
      <c r="C29" s="5"/>
      <c r="G29" s="5" t="s">
        <v>16</v>
      </c>
      <c r="H29" s="7">
        <f>DASHBOARD!D59</f>
        <v>0.23960000000000001</v>
      </c>
      <c r="I29" s="34">
        <v>1</v>
      </c>
      <c r="J29" s="12">
        <f>(4*J23)+(4*J25)+100</f>
        <v>103.73333333325714</v>
      </c>
      <c r="K29" s="12"/>
      <c r="L29" s="6">
        <f t="shared" si="1"/>
        <v>24.854506666648412</v>
      </c>
      <c r="M29" s="1" t="s">
        <v>123</v>
      </c>
      <c r="N29" s="87" t="s">
        <v>119</v>
      </c>
    </row>
    <row r="30" spans="2:14">
      <c r="B30" s="16"/>
      <c r="C30" s="5"/>
      <c r="G30" s="5" t="s">
        <v>10</v>
      </c>
      <c r="H30" s="7">
        <f>DASHBOARD!D60</f>
        <v>1.7004999999999999</v>
      </c>
      <c r="I30" s="34">
        <v>1</v>
      </c>
      <c r="J30" s="12">
        <f>(4*J25)+100</f>
        <v>100.4</v>
      </c>
      <c r="K30" s="12"/>
      <c r="L30" s="6">
        <f t="shared" si="1"/>
        <v>170.7302</v>
      </c>
      <c r="M30" s="1" t="s">
        <v>124</v>
      </c>
      <c r="N30" s="87" t="s">
        <v>119</v>
      </c>
    </row>
    <row r="31" spans="2:14">
      <c r="B31" s="16"/>
      <c r="C31" s="5"/>
      <c r="G31" s="5" t="s">
        <v>144</v>
      </c>
      <c r="H31" s="7">
        <f>DASHBOARD!D61</f>
        <v>3.32</v>
      </c>
      <c r="I31" s="34">
        <v>1</v>
      </c>
      <c r="J31" s="5">
        <v>100</v>
      </c>
      <c r="K31" s="5"/>
      <c r="L31" s="6">
        <f t="shared" si="1"/>
        <v>332</v>
      </c>
      <c r="M31" s="1" t="s">
        <v>145</v>
      </c>
      <c r="N31" s="89" t="s">
        <v>147</v>
      </c>
    </row>
    <row r="32" spans="2:14">
      <c r="B32" s="16"/>
      <c r="C32" s="5"/>
      <c r="G32" s="5" t="s">
        <v>11</v>
      </c>
      <c r="H32" s="7">
        <f>DASHBOARD!D62</f>
        <v>0.72</v>
      </c>
      <c r="I32" s="34">
        <v>1</v>
      </c>
      <c r="J32" s="5">
        <f>100</f>
        <v>100</v>
      </c>
      <c r="K32" s="5"/>
      <c r="L32" s="6">
        <f t="shared" si="1"/>
        <v>72</v>
      </c>
      <c r="M32" s="1" t="s">
        <v>146</v>
      </c>
      <c r="N32" s="89" t="s">
        <v>148</v>
      </c>
    </row>
    <row r="33" spans="2:14">
      <c r="B33" s="16"/>
      <c r="C33" s="5"/>
      <c r="F33" s="119">
        <f>DASHBOARD!$D$110</f>
        <v>0</v>
      </c>
      <c r="G33" s="120" t="s">
        <v>17</v>
      </c>
      <c r="H33" s="121">
        <f>DASHBOARD!$D$36</f>
        <v>45.12</v>
      </c>
      <c r="I33" s="122">
        <v>8</v>
      </c>
      <c r="J33" s="120">
        <f>0.625*F33*(8/7)</f>
        <v>0</v>
      </c>
      <c r="K33" s="120"/>
      <c r="L33" s="123">
        <f>F33*H33*I33*J33</f>
        <v>0</v>
      </c>
      <c r="M33" s="1" t="s">
        <v>287</v>
      </c>
      <c r="N33" s="89"/>
    </row>
    <row r="34" spans="2:14" ht="19.5" customHeight="1">
      <c r="B34" s="16"/>
      <c r="C34" s="5"/>
      <c r="F34" s="124" t="s">
        <v>281</v>
      </c>
      <c r="G34" s="120" t="s">
        <v>14</v>
      </c>
      <c r="H34" s="121">
        <f>DASHBOARD!$D$35</f>
        <v>24.612000000000002</v>
      </c>
      <c r="I34" s="122">
        <v>8</v>
      </c>
      <c r="J34" s="120">
        <f>0.625*(8/7)</f>
        <v>0.71428571428571419</v>
      </c>
      <c r="K34" s="120"/>
      <c r="L34" s="123">
        <f>F33*H34*I34*J34</f>
        <v>0</v>
      </c>
      <c r="M34" s="1" t="s">
        <v>287</v>
      </c>
      <c r="N34" s="89"/>
    </row>
    <row r="35" spans="2:14">
      <c r="B35" s="16"/>
      <c r="C35" s="5"/>
      <c r="F35" s="124"/>
      <c r="G35" s="120" t="s">
        <v>291</v>
      </c>
      <c r="H35" s="121">
        <f>DASHBOARD!$D$59</f>
        <v>0.23960000000000001</v>
      </c>
      <c r="I35" s="122">
        <v>1</v>
      </c>
      <c r="J35" s="120">
        <v>100</v>
      </c>
      <c r="K35" s="120"/>
      <c r="L35" s="123">
        <f>F33*H35*I35*J35</f>
        <v>0</v>
      </c>
      <c r="N35" s="89"/>
    </row>
    <row r="36" spans="2:14">
      <c r="B36" s="16"/>
      <c r="C36" s="5"/>
      <c r="F36" s="119"/>
      <c r="G36" s="120" t="s">
        <v>284</v>
      </c>
      <c r="H36" s="121">
        <v>10</v>
      </c>
      <c r="I36" s="122">
        <v>1</v>
      </c>
      <c r="J36" s="120">
        <v>100</v>
      </c>
      <c r="K36" s="120"/>
      <c r="L36" s="123">
        <f>F33*H36*I36*J36</f>
        <v>0</v>
      </c>
      <c r="M36" s="1" t="s">
        <v>290</v>
      </c>
      <c r="N36" s="89"/>
    </row>
    <row r="37" spans="2:14">
      <c r="B37" s="16"/>
      <c r="C37" s="5"/>
      <c r="F37" s="119"/>
      <c r="G37" s="120" t="s">
        <v>283</v>
      </c>
      <c r="H37" s="121">
        <v>0.84</v>
      </c>
      <c r="I37" s="122">
        <v>1</v>
      </c>
      <c r="J37" s="120">
        <v>100</v>
      </c>
      <c r="K37" s="120"/>
      <c r="L37" s="123">
        <f>F33*H37*I37*J37</f>
        <v>0</v>
      </c>
      <c r="M37" s="1" t="s">
        <v>288</v>
      </c>
      <c r="N37" s="88" t="s">
        <v>289</v>
      </c>
    </row>
    <row r="38" spans="2:14">
      <c r="B38" s="17"/>
      <c r="F38" s="154">
        <f>DASHBOARD!$D$112</f>
        <v>0</v>
      </c>
      <c r="G38" s="155" t="s">
        <v>386</v>
      </c>
      <c r="H38" s="156">
        <f>DASHBOARD!$D$42</f>
        <v>30</v>
      </c>
      <c r="I38" s="157">
        <v>8</v>
      </c>
      <c r="J38" s="155">
        <f>((DASHBOARD!$D$113*100)/480)*(8/7)</f>
        <v>1.1904761904761905</v>
      </c>
      <c r="K38" s="155">
        <f>D23*F38*F23*I38*J38</f>
        <v>0</v>
      </c>
      <c r="L38" s="158">
        <f>F38*H38*I38*J38</f>
        <v>0</v>
      </c>
      <c r="M38" s="1" t="s">
        <v>460</v>
      </c>
      <c r="N38" s="88" t="s">
        <v>387</v>
      </c>
    </row>
    <row r="39" spans="2:14">
      <c r="B39" s="17"/>
      <c r="F39" s="159" t="s">
        <v>281</v>
      </c>
      <c r="G39" s="155" t="s">
        <v>382</v>
      </c>
      <c r="H39" s="156">
        <f>DASHBOARD!$D$59</f>
        <v>0.23960000000000001</v>
      </c>
      <c r="I39" s="157">
        <v>1</v>
      </c>
      <c r="J39" s="155">
        <v>100</v>
      </c>
      <c r="K39" s="155"/>
      <c r="L39" s="158">
        <f>F38*H39*I39*J39</f>
        <v>0</v>
      </c>
      <c r="M39" s="1" t="s">
        <v>388</v>
      </c>
      <c r="N39" s="88"/>
    </row>
    <row r="40" spans="2:14">
      <c r="B40" s="17"/>
      <c r="F40" s="159" t="s">
        <v>380</v>
      </c>
      <c r="G40" s="155" t="s">
        <v>383</v>
      </c>
      <c r="H40" s="156">
        <f>DASHBOARD!$D$60</f>
        <v>1.7004999999999999</v>
      </c>
      <c r="I40" s="157">
        <v>1</v>
      </c>
      <c r="J40" s="155">
        <v>100</v>
      </c>
      <c r="K40" s="155"/>
      <c r="L40" s="158">
        <f>F38*H40*I40*J40</f>
        <v>0</v>
      </c>
      <c r="M40" s="1" t="s">
        <v>388</v>
      </c>
      <c r="N40" s="88"/>
    </row>
    <row r="41" spans="2:14">
      <c r="B41" s="17"/>
      <c r="F41" s="154"/>
      <c r="G41" s="155" t="s">
        <v>41</v>
      </c>
      <c r="H41" s="156">
        <f>DASHBOARD!$D$57</f>
        <v>3.95</v>
      </c>
      <c r="I41" s="157">
        <v>1</v>
      </c>
      <c r="J41" s="155">
        <f>I38*J38/2</f>
        <v>4.7619047619047619</v>
      </c>
      <c r="K41" s="155"/>
      <c r="L41" s="158">
        <f>F38*H41*I41*J41</f>
        <v>0</v>
      </c>
      <c r="M41" s="1" t="s">
        <v>385</v>
      </c>
      <c r="N41" s="88"/>
    </row>
    <row r="42" spans="2:14">
      <c r="B42" s="17"/>
      <c r="F42" s="154"/>
      <c r="G42" s="155" t="s">
        <v>384</v>
      </c>
      <c r="H42" s="156">
        <f>DASHBOARD!$D$58</f>
        <v>13.95</v>
      </c>
      <c r="I42" s="157">
        <v>1</v>
      </c>
      <c r="J42" s="155">
        <f>I38*J38/2</f>
        <v>4.7619047619047619</v>
      </c>
      <c r="K42" s="155"/>
      <c r="L42" s="158">
        <f>F38*H42*I42*J42</f>
        <v>0</v>
      </c>
      <c r="M42" s="1" t="s">
        <v>385</v>
      </c>
      <c r="N42" s="88"/>
    </row>
    <row r="43" spans="2:14">
      <c r="B43" s="17"/>
      <c r="F43" s="154"/>
      <c r="G43" s="155" t="s">
        <v>389</v>
      </c>
      <c r="H43" s="156">
        <f>DASHBOARD!$D$71</f>
        <v>2.2799999999999998</v>
      </c>
      <c r="I43" s="157">
        <v>1</v>
      </c>
      <c r="J43" s="155">
        <v>100</v>
      </c>
      <c r="K43" s="155"/>
      <c r="L43" s="158">
        <f>F38*H43*I43*J43</f>
        <v>0</v>
      </c>
      <c r="M43" s="1" t="s">
        <v>390</v>
      </c>
      <c r="N43" s="88" t="s">
        <v>391</v>
      </c>
    </row>
    <row r="44" spans="2:14">
      <c r="B44" s="17"/>
      <c r="F44" s="154"/>
      <c r="G44" s="155" t="s">
        <v>392</v>
      </c>
      <c r="H44" s="156">
        <f>DASHBOARD!$D$72</f>
        <v>0.39</v>
      </c>
      <c r="I44" s="157">
        <v>1</v>
      </c>
      <c r="J44" s="155">
        <v>100</v>
      </c>
      <c r="K44" s="155"/>
      <c r="L44" s="158">
        <f>F38*H44*I44*J44</f>
        <v>0</v>
      </c>
      <c r="M44" s="1" t="s">
        <v>393</v>
      </c>
      <c r="N44" s="88" t="s">
        <v>394</v>
      </c>
    </row>
    <row r="45" spans="2:14">
      <c r="B45" s="16"/>
      <c r="C45" s="5"/>
      <c r="F45" s="2">
        <f>(1-DASHBOARD!D128)*(1-DASHBOARD!D123)</f>
        <v>1</v>
      </c>
      <c r="G45" s="42" t="s">
        <v>14</v>
      </c>
      <c r="H45" s="3">
        <f>DASHBOARD!D35</f>
        <v>24.612000000000002</v>
      </c>
      <c r="I45" s="32">
        <v>8</v>
      </c>
      <c r="J45" s="11">
        <f>1.4583333333*(8/7)</f>
        <v>1.6666666666285712</v>
      </c>
      <c r="K45" s="11">
        <f>D23*F45*I45*J45</f>
        <v>13.329936733028648</v>
      </c>
      <c r="L45" s="6">
        <f t="shared" si="1"/>
        <v>328.15999999249919</v>
      </c>
      <c r="M45" s="1" t="s">
        <v>91</v>
      </c>
      <c r="N45" s="87" t="s">
        <v>111</v>
      </c>
    </row>
    <row r="46" spans="2:14">
      <c r="B46" s="16"/>
      <c r="C46" s="5"/>
      <c r="G46" s="42" t="s">
        <v>17</v>
      </c>
      <c r="H46" s="3">
        <f>DASHBOARD!D36</f>
        <v>45.12</v>
      </c>
      <c r="I46" s="32">
        <v>8</v>
      </c>
      <c r="J46" s="11">
        <f>1.25*(8/7)</f>
        <v>1.4285714285714284</v>
      </c>
      <c r="K46" s="11">
        <f>D23*F45*I46*J46</f>
        <v>11.425660057142856</v>
      </c>
      <c r="L46" s="6">
        <f t="shared" si="1"/>
        <v>515.65714285714273</v>
      </c>
      <c r="M46" s="1" t="s">
        <v>90</v>
      </c>
      <c r="N46" s="87" t="s">
        <v>112</v>
      </c>
    </row>
    <row r="47" spans="2:14">
      <c r="B47" s="17"/>
      <c r="G47" s="42" t="s">
        <v>27</v>
      </c>
      <c r="H47" s="3">
        <f>DASHBOARD!D39</f>
        <v>30</v>
      </c>
      <c r="I47" s="32">
        <v>8</v>
      </c>
      <c r="J47" s="53">
        <v>0.1</v>
      </c>
      <c r="K47" s="11">
        <f>D23*F45*I47*J47</f>
        <v>0.79979620400000007</v>
      </c>
      <c r="L47" s="6">
        <f t="shared" si="1"/>
        <v>24</v>
      </c>
      <c r="M47" s="1" t="s">
        <v>260</v>
      </c>
      <c r="N47" s="87" t="s">
        <v>115</v>
      </c>
    </row>
    <row r="48" spans="2:14">
      <c r="B48" s="17"/>
      <c r="G48" s="5" t="s">
        <v>8</v>
      </c>
      <c r="H48" s="7">
        <f>DASHBOARD!D56</f>
        <v>0.16259999999999999</v>
      </c>
      <c r="I48" s="34">
        <v>1</v>
      </c>
      <c r="J48" s="11">
        <f>4*J45</f>
        <v>6.6666666665142849</v>
      </c>
      <c r="K48" s="11"/>
      <c r="L48" s="6">
        <f t="shared" si="1"/>
        <v>1.0839999999752228</v>
      </c>
      <c r="N48" s="87" t="s">
        <v>116</v>
      </c>
    </row>
    <row r="49" spans="2:14">
      <c r="B49" s="17"/>
      <c r="G49" s="5" t="s">
        <v>41</v>
      </c>
      <c r="H49" s="7">
        <f>DASHBOARD!D57</f>
        <v>3.95</v>
      </c>
      <c r="I49" s="34">
        <v>1</v>
      </c>
      <c r="J49" s="11">
        <f>(4*J46)+(4*J47)</f>
        <v>6.1142857142857139</v>
      </c>
      <c r="K49" s="11"/>
      <c r="L49" s="6">
        <f t="shared" si="1"/>
        <v>24.151428571428571</v>
      </c>
      <c r="N49" s="87" t="s">
        <v>117</v>
      </c>
    </row>
    <row r="50" spans="2:14">
      <c r="B50" s="17"/>
      <c r="G50" s="5" t="s">
        <v>9</v>
      </c>
      <c r="H50" s="7">
        <f>DASHBOARD!D58</f>
        <v>13.95</v>
      </c>
      <c r="I50" s="34">
        <v>1</v>
      </c>
      <c r="J50" s="11">
        <f>(4*J46)+(4*J47)</f>
        <v>6.1142857142857139</v>
      </c>
      <c r="K50" s="11"/>
      <c r="L50" s="6">
        <f t="shared" si="1"/>
        <v>85.294285714285706</v>
      </c>
      <c r="N50" s="87" t="s">
        <v>118</v>
      </c>
    </row>
    <row r="51" spans="2:14">
      <c r="B51" s="17"/>
      <c r="G51" s="5" t="s">
        <v>16</v>
      </c>
      <c r="H51" s="7">
        <f>DASHBOARD!D59</f>
        <v>0.23960000000000001</v>
      </c>
      <c r="I51" s="34">
        <v>1</v>
      </c>
      <c r="J51" s="12">
        <f>(4*J45)+(4*J47)+100</f>
        <v>107.06666666651428</v>
      </c>
      <c r="K51" s="12"/>
      <c r="L51" s="6">
        <f t="shared" si="1"/>
        <v>25.653173333296824</v>
      </c>
      <c r="M51" s="1" t="s">
        <v>75</v>
      </c>
      <c r="N51" s="87" t="s">
        <v>119</v>
      </c>
    </row>
    <row r="52" spans="2:14">
      <c r="B52" s="17"/>
      <c r="G52" s="5" t="s">
        <v>10</v>
      </c>
      <c r="H52" s="7">
        <f>DASHBOARD!D60</f>
        <v>1.7004999999999999</v>
      </c>
      <c r="I52" s="34">
        <v>1</v>
      </c>
      <c r="J52" s="12">
        <f>(4*J47)+100</f>
        <v>100.4</v>
      </c>
      <c r="K52" s="12"/>
      <c r="L52" s="6">
        <f t="shared" si="1"/>
        <v>170.7302</v>
      </c>
      <c r="M52" s="1" t="s">
        <v>76</v>
      </c>
      <c r="N52" s="87" t="s">
        <v>119</v>
      </c>
    </row>
    <row r="53" spans="2:14">
      <c r="B53" s="17"/>
      <c r="G53" s="5" t="s">
        <v>144</v>
      </c>
      <c r="H53" s="7">
        <f>DASHBOARD!D61</f>
        <v>3.32</v>
      </c>
      <c r="I53" s="34">
        <v>1</v>
      </c>
      <c r="J53" s="5">
        <v>100</v>
      </c>
      <c r="K53" s="5"/>
      <c r="L53" s="6">
        <f t="shared" si="1"/>
        <v>332</v>
      </c>
      <c r="M53" s="1" t="s">
        <v>145</v>
      </c>
      <c r="N53" s="89" t="s">
        <v>147</v>
      </c>
    </row>
    <row r="54" spans="2:14">
      <c r="B54" s="17"/>
      <c r="G54" s="5" t="s">
        <v>11</v>
      </c>
      <c r="H54" s="7">
        <f>DASHBOARD!D62</f>
        <v>0.72</v>
      </c>
      <c r="I54" s="34">
        <v>1</v>
      </c>
      <c r="J54" s="5">
        <f>100</f>
        <v>100</v>
      </c>
      <c r="K54" s="5"/>
      <c r="L54" s="6">
        <f t="shared" si="1"/>
        <v>72</v>
      </c>
      <c r="M54" s="1" t="s">
        <v>146</v>
      </c>
      <c r="N54" s="89" t="s">
        <v>148</v>
      </c>
    </row>
    <row r="55" spans="2:14">
      <c r="B55" s="17"/>
      <c r="F55" s="119">
        <f>DASHBOARD!$D$110</f>
        <v>0</v>
      </c>
      <c r="G55" s="120" t="s">
        <v>17</v>
      </c>
      <c r="H55" s="121">
        <f>DASHBOARD!$D$36</f>
        <v>45.12</v>
      </c>
      <c r="I55" s="122">
        <v>8</v>
      </c>
      <c r="J55" s="120">
        <f>0.625*F55*(8/7)</f>
        <v>0</v>
      </c>
      <c r="K55" s="120"/>
      <c r="L55" s="123">
        <f>F55*H55*I55*J55</f>
        <v>0</v>
      </c>
      <c r="M55" s="1" t="s">
        <v>287</v>
      </c>
      <c r="N55" s="89"/>
    </row>
    <row r="56" spans="2:14">
      <c r="B56" s="17"/>
      <c r="F56" s="124" t="s">
        <v>281</v>
      </c>
      <c r="G56" s="120" t="s">
        <v>14</v>
      </c>
      <c r="H56" s="121">
        <f>DASHBOARD!$D$35</f>
        <v>24.612000000000002</v>
      </c>
      <c r="I56" s="122">
        <v>8</v>
      </c>
      <c r="J56" s="120">
        <f>0.625*(8/7)</f>
        <v>0.71428571428571419</v>
      </c>
      <c r="K56" s="120"/>
      <c r="L56" s="123">
        <f>F55*H56*I56*J56</f>
        <v>0</v>
      </c>
      <c r="M56" s="1" t="s">
        <v>287</v>
      </c>
      <c r="N56" s="89"/>
    </row>
    <row r="57" spans="2:14">
      <c r="B57" s="17"/>
      <c r="F57" s="124"/>
      <c r="G57" s="120" t="s">
        <v>291</v>
      </c>
      <c r="H57" s="121">
        <f>DASHBOARD!$D$59</f>
        <v>0.23960000000000001</v>
      </c>
      <c r="I57" s="122">
        <v>1</v>
      </c>
      <c r="J57" s="120">
        <v>100</v>
      </c>
      <c r="K57" s="120"/>
      <c r="L57" s="123">
        <f>F55*H57*I57*J57</f>
        <v>0</v>
      </c>
      <c r="N57" s="89"/>
    </row>
    <row r="58" spans="2:14">
      <c r="B58" s="17"/>
      <c r="F58" s="119"/>
      <c r="G58" s="120" t="s">
        <v>284</v>
      </c>
      <c r="H58" s="121">
        <v>10</v>
      </c>
      <c r="I58" s="122">
        <v>1</v>
      </c>
      <c r="J58" s="120">
        <v>100</v>
      </c>
      <c r="K58" s="120"/>
      <c r="L58" s="123">
        <f>F55*H58*I58*J58</f>
        <v>0</v>
      </c>
      <c r="M58" s="1" t="s">
        <v>290</v>
      </c>
      <c r="N58" s="89"/>
    </row>
    <row r="59" spans="2:14">
      <c r="B59" s="17"/>
      <c r="F59" s="119"/>
      <c r="G59" s="120" t="s">
        <v>283</v>
      </c>
      <c r="H59" s="121">
        <v>0.84</v>
      </c>
      <c r="I59" s="122">
        <v>1</v>
      </c>
      <c r="J59" s="120">
        <v>100</v>
      </c>
      <c r="K59" s="120"/>
      <c r="L59" s="123">
        <f>F55*H59*I59*J59</f>
        <v>0</v>
      </c>
      <c r="M59" s="1" t="s">
        <v>288</v>
      </c>
      <c r="N59" s="88" t="s">
        <v>289</v>
      </c>
    </row>
    <row r="60" spans="2:14">
      <c r="B60" s="17"/>
      <c r="F60" s="154">
        <f>DASHBOARD!$D$112</f>
        <v>0</v>
      </c>
      <c r="G60" s="155" t="s">
        <v>386</v>
      </c>
      <c r="H60" s="156">
        <f>DASHBOARD!$D$42</f>
        <v>30</v>
      </c>
      <c r="I60" s="157">
        <v>8</v>
      </c>
      <c r="J60" s="155">
        <f>((DASHBOARD!$D$113*100)/480)*(8/7)</f>
        <v>1.1904761904761905</v>
      </c>
      <c r="K60" s="155">
        <f>D23*F45*F60*I60*J60</f>
        <v>0</v>
      </c>
      <c r="L60" s="158">
        <f>F60*H60*I60*J60</f>
        <v>0</v>
      </c>
      <c r="M60" s="1" t="s">
        <v>460</v>
      </c>
      <c r="N60" s="88" t="s">
        <v>387</v>
      </c>
    </row>
    <row r="61" spans="2:14">
      <c r="B61" s="17"/>
      <c r="F61" s="159" t="s">
        <v>281</v>
      </c>
      <c r="G61" s="155" t="s">
        <v>382</v>
      </c>
      <c r="H61" s="156">
        <f>DASHBOARD!$D$59</f>
        <v>0.23960000000000001</v>
      </c>
      <c r="I61" s="157">
        <v>1</v>
      </c>
      <c r="J61" s="155">
        <v>100</v>
      </c>
      <c r="K61" s="155"/>
      <c r="L61" s="158">
        <f>F60*H61*I61*J61</f>
        <v>0</v>
      </c>
      <c r="M61" s="1" t="s">
        <v>388</v>
      </c>
      <c r="N61" s="88"/>
    </row>
    <row r="62" spans="2:14">
      <c r="B62" s="17"/>
      <c r="F62" s="159" t="s">
        <v>380</v>
      </c>
      <c r="G62" s="155" t="s">
        <v>383</v>
      </c>
      <c r="H62" s="156">
        <f>DASHBOARD!$D$60</f>
        <v>1.7004999999999999</v>
      </c>
      <c r="I62" s="157">
        <v>1</v>
      </c>
      <c r="J62" s="155">
        <v>100</v>
      </c>
      <c r="K62" s="155"/>
      <c r="L62" s="158">
        <f>F60*H62*I62*J62</f>
        <v>0</v>
      </c>
      <c r="M62" s="1" t="s">
        <v>388</v>
      </c>
      <c r="N62" s="88"/>
    </row>
    <row r="63" spans="2:14">
      <c r="B63" s="17"/>
      <c r="F63" s="154"/>
      <c r="G63" s="155" t="s">
        <v>41</v>
      </c>
      <c r="H63" s="156">
        <f>DASHBOARD!$D$57</f>
        <v>3.95</v>
      </c>
      <c r="I63" s="157">
        <v>1</v>
      </c>
      <c r="J63" s="155">
        <f>I60*J60/2</f>
        <v>4.7619047619047619</v>
      </c>
      <c r="K63" s="155"/>
      <c r="L63" s="158">
        <f>F60*H63*I63*J63</f>
        <v>0</v>
      </c>
      <c r="M63" s="1" t="s">
        <v>385</v>
      </c>
      <c r="N63" s="88"/>
    </row>
    <row r="64" spans="2:14">
      <c r="B64" s="17"/>
      <c r="F64" s="154"/>
      <c r="G64" s="155" t="s">
        <v>384</v>
      </c>
      <c r="H64" s="156">
        <f>DASHBOARD!$D$58</f>
        <v>13.95</v>
      </c>
      <c r="I64" s="157">
        <v>1</v>
      </c>
      <c r="J64" s="155">
        <f>I60*J60/2</f>
        <v>4.7619047619047619</v>
      </c>
      <c r="K64" s="155"/>
      <c r="L64" s="158">
        <f>F60*H64*I64*J64</f>
        <v>0</v>
      </c>
      <c r="M64" s="1" t="s">
        <v>385</v>
      </c>
      <c r="N64" s="88"/>
    </row>
    <row r="65" spans="2:14">
      <c r="B65" s="17"/>
      <c r="F65" s="154"/>
      <c r="G65" s="155" t="s">
        <v>389</v>
      </c>
      <c r="H65" s="156">
        <f>DASHBOARD!$D$71</f>
        <v>2.2799999999999998</v>
      </c>
      <c r="I65" s="157">
        <v>1</v>
      </c>
      <c r="J65" s="155">
        <v>100</v>
      </c>
      <c r="K65" s="155"/>
      <c r="L65" s="158">
        <f>F60*H65*I65*J65</f>
        <v>0</v>
      </c>
      <c r="M65" s="1" t="s">
        <v>390</v>
      </c>
      <c r="N65" s="88" t="s">
        <v>391</v>
      </c>
    </row>
    <row r="66" spans="2:14">
      <c r="B66" s="17"/>
      <c r="F66" s="154"/>
      <c r="G66" s="155" t="s">
        <v>392</v>
      </c>
      <c r="H66" s="156">
        <f>DASHBOARD!$D$72</f>
        <v>0.39</v>
      </c>
      <c r="I66" s="157">
        <v>1</v>
      </c>
      <c r="J66" s="155">
        <v>100</v>
      </c>
      <c r="K66" s="155"/>
      <c r="L66" s="158">
        <f>F60*H66*I66*J66</f>
        <v>0</v>
      </c>
      <c r="M66" s="1" t="s">
        <v>393</v>
      </c>
      <c r="N66" s="88" t="s">
        <v>394</v>
      </c>
    </row>
    <row r="67" spans="2:14">
      <c r="B67" s="17"/>
      <c r="E67" s="21" t="s">
        <v>267</v>
      </c>
      <c r="F67" s="2">
        <f>DASHBOARD!$D$128*DASHBOARD!$D$123</f>
        <v>0</v>
      </c>
      <c r="G67" s="42" t="s">
        <v>14</v>
      </c>
      <c r="H67" s="3">
        <f>DASHBOARD!$D$35</f>
        <v>24.612000000000002</v>
      </c>
      <c r="I67" s="32">
        <v>8</v>
      </c>
      <c r="J67" s="11">
        <f>J88/2</f>
        <v>0.71428571428571419</v>
      </c>
      <c r="K67" s="11">
        <f>D23*F67*I67*J67</f>
        <v>0</v>
      </c>
      <c r="L67" s="6">
        <f t="shared" si="1"/>
        <v>140.63999999999999</v>
      </c>
      <c r="M67" s="72" t="s">
        <v>274</v>
      </c>
      <c r="N67" s="87" t="s">
        <v>111</v>
      </c>
    </row>
    <row r="68" spans="2:14" ht="31.5">
      <c r="B68" s="17"/>
      <c r="G68" s="42" t="s">
        <v>6</v>
      </c>
      <c r="H68" s="3">
        <f>DASHBOARD!$D$40</f>
        <v>24.276</v>
      </c>
      <c r="I68" s="32">
        <v>8</v>
      </c>
      <c r="J68" s="11">
        <f>0.625*(8/7)</f>
        <v>0.71428571428571419</v>
      </c>
      <c r="K68" s="11">
        <f>D23*F67*I68*J68</f>
        <v>0</v>
      </c>
      <c r="L68" s="6">
        <f t="shared" si="1"/>
        <v>138.71999999999997</v>
      </c>
      <c r="M68" s="1" t="s">
        <v>268</v>
      </c>
      <c r="N68" s="87" t="s">
        <v>112</v>
      </c>
    </row>
    <row r="69" spans="2:14">
      <c r="B69" s="17"/>
      <c r="G69" s="42" t="s">
        <v>27</v>
      </c>
      <c r="H69" s="3">
        <f>DASHBOARD!$D$39</f>
        <v>30</v>
      </c>
      <c r="I69" s="32">
        <v>8</v>
      </c>
      <c r="J69" s="53">
        <v>0.1</v>
      </c>
      <c r="K69" s="11">
        <f>D23*F67*I69*J69</f>
        <v>0</v>
      </c>
      <c r="L69" s="6">
        <f t="shared" si="1"/>
        <v>24</v>
      </c>
      <c r="M69" s="1" t="s">
        <v>260</v>
      </c>
      <c r="N69" s="87" t="s">
        <v>115</v>
      </c>
    </row>
    <row r="70" spans="2:14">
      <c r="B70" s="17"/>
      <c r="G70" s="5" t="s">
        <v>8</v>
      </c>
      <c r="H70" s="7">
        <f>DASHBOARD!$D$56</f>
        <v>0.16259999999999999</v>
      </c>
      <c r="I70" s="34">
        <v>1</v>
      </c>
      <c r="J70" s="11">
        <f>4*J67</f>
        <v>2.8571428571428568</v>
      </c>
      <c r="K70" s="11"/>
      <c r="L70" s="6">
        <f t="shared" si="1"/>
        <v>0.46457142857142847</v>
      </c>
      <c r="M70" s="1" t="s">
        <v>121</v>
      </c>
      <c r="N70" s="87" t="s">
        <v>116</v>
      </c>
    </row>
    <row r="71" spans="2:14">
      <c r="B71" s="17"/>
      <c r="G71" s="5" t="s">
        <v>41</v>
      </c>
      <c r="H71" s="7">
        <f>DASHBOARD!$D$57</f>
        <v>3.95</v>
      </c>
      <c r="I71" s="34">
        <v>1</v>
      </c>
      <c r="J71" s="11">
        <f>(4*J68)+(4*J69)</f>
        <v>3.2571428571428567</v>
      </c>
      <c r="K71" s="11"/>
      <c r="L71" s="6">
        <f t="shared" si="1"/>
        <v>12.865714285714285</v>
      </c>
      <c r="M71" s="1" t="s">
        <v>122</v>
      </c>
      <c r="N71" s="87" t="s">
        <v>117</v>
      </c>
    </row>
    <row r="72" spans="2:14">
      <c r="B72" s="17"/>
      <c r="G72" s="5" t="s">
        <v>9</v>
      </c>
      <c r="H72" s="7">
        <f>DASHBOARD!$D$58</f>
        <v>13.95</v>
      </c>
      <c r="I72" s="34">
        <v>1</v>
      </c>
      <c r="J72" s="11">
        <f>(4*J68)+(4*J69)</f>
        <v>3.2571428571428567</v>
      </c>
      <c r="K72" s="11"/>
      <c r="L72" s="6">
        <f t="shared" si="1"/>
        <v>45.437142857142845</v>
      </c>
      <c r="M72" s="1" t="s">
        <v>122</v>
      </c>
      <c r="N72" s="87" t="s">
        <v>118</v>
      </c>
    </row>
    <row r="73" spans="2:14">
      <c r="B73" s="17"/>
      <c r="G73" s="5" t="s">
        <v>16</v>
      </c>
      <c r="H73" s="7">
        <f>DASHBOARD!$D$59</f>
        <v>0.23960000000000001</v>
      </c>
      <c r="I73" s="34">
        <v>1</v>
      </c>
      <c r="J73" s="12">
        <f>(4*J67)+(4*J69)+100</f>
        <v>103.25714285714285</v>
      </c>
      <c r="K73" s="12"/>
      <c r="L73" s="6">
        <f t="shared" si="1"/>
        <v>24.740411428571427</v>
      </c>
      <c r="M73" s="1" t="s">
        <v>123</v>
      </c>
      <c r="N73" s="87" t="s">
        <v>119</v>
      </c>
    </row>
    <row r="74" spans="2:14">
      <c r="B74" s="17"/>
      <c r="G74" s="5" t="s">
        <v>10</v>
      </c>
      <c r="H74" s="7">
        <f>DASHBOARD!$D$60</f>
        <v>1.7004999999999999</v>
      </c>
      <c r="I74" s="34">
        <v>1</v>
      </c>
      <c r="J74" s="12">
        <f>(4*J69)+100</f>
        <v>100.4</v>
      </c>
      <c r="K74" s="12"/>
      <c r="L74" s="6">
        <f t="shared" si="1"/>
        <v>170.7302</v>
      </c>
      <c r="M74" s="1" t="s">
        <v>124</v>
      </c>
      <c r="N74" s="87" t="s">
        <v>119</v>
      </c>
    </row>
    <row r="75" spans="2:14">
      <c r="B75" s="17"/>
      <c r="G75" s="5" t="s">
        <v>273</v>
      </c>
      <c r="H75" s="7">
        <f>DASHBOARD!$D$63</f>
        <v>1.8685</v>
      </c>
      <c r="I75" s="34">
        <v>1</v>
      </c>
      <c r="J75" s="5">
        <v>100</v>
      </c>
      <c r="K75" s="5"/>
      <c r="L75" s="6">
        <f t="shared" si="1"/>
        <v>186.85</v>
      </c>
      <c r="M75" s="1" t="s">
        <v>270</v>
      </c>
      <c r="N75" s="89" t="s">
        <v>271</v>
      </c>
    </row>
    <row r="76" spans="2:14">
      <c r="B76" s="17"/>
      <c r="F76" s="119">
        <f>DASHBOARD!$D$110</f>
        <v>0</v>
      </c>
      <c r="G76" s="120" t="s">
        <v>6</v>
      </c>
      <c r="H76" s="121">
        <f>DASHBOARD!$D$40</f>
        <v>24.276</v>
      </c>
      <c r="I76" s="122">
        <v>8</v>
      </c>
      <c r="J76" s="120">
        <f>0.625*F76*(8/7)</f>
        <v>0</v>
      </c>
      <c r="K76" s="120"/>
      <c r="L76" s="123">
        <f>F76*H76*I76*J76</f>
        <v>0</v>
      </c>
      <c r="M76" s="1" t="s">
        <v>287</v>
      </c>
      <c r="N76" s="89"/>
    </row>
    <row r="77" spans="2:14">
      <c r="B77" s="17"/>
      <c r="F77" s="124" t="s">
        <v>281</v>
      </c>
      <c r="G77" s="120" t="s">
        <v>14</v>
      </c>
      <c r="H77" s="121">
        <f>DASHBOARD!$D$35</f>
        <v>24.612000000000002</v>
      </c>
      <c r="I77" s="122">
        <v>8</v>
      </c>
      <c r="J77" s="120">
        <f>0.625*(8/7)</f>
        <v>0.71428571428571419</v>
      </c>
      <c r="K77" s="120"/>
      <c r="L77" s="123">
        <f>F76*H77*I77*J77</f>
        <v>0</v>
      </c>
      <c r="M77" s="1" t="s">
        <v>287</v>
      </c>
      <c r="N77" s="89"/>
    </row>
    <row r="78" spans="2:14">
      <c r="B78" s="17"/>
      <c r="F78" s="124"/>
      <c r="G78" s="120" t="s">
        <v>291</v>
      </c>
      <c r="H78" s="121">
        <f>DASHBOARD!$D$59</f>
        <v>0.23960000000000001</v>
      </c>
      <c r="I78" s="122">
        <v>1</v>
      </c>
      <c r="J78" s="120">
        <v>100</v>
      </c>
      <c r="K78" s="120"/>
      <c r="L78" s="123">
        <f>F76*H78*I78*J78</f>
        <v>0</v>
      </c>
      <c r="N78" s="89"/>
    </row>
    <row r="79" spans="2:14">
      <c r="B79" s="17"/>
      <c r="F79" s="119"/>
      <c r="G79" s="120" t="s">
        <v>284</v>
      </c>
      <c r="H79" s="121">
        <v>10</v>
      </c>
      <c r="I79" s="122">
        <v>1</v>
      </c>
      <c r="J79" s="120">
        <v>100</v>
      </c>
      <c r="K79" s="120"/>
      <c r="L79" s="123">
        <f>F76*H79*I79*J79</f>
        <v>0</v>
      </c>
      <c r="M79" s="1" t="s">
        <v>290</v>
      </c>
      <c r="N79" s="89"/>
    </row>
    <row r="80" spans="2:14">
      <c r="B80" s="17"/>
      <c r="F80" s="119"/>
      <c r="G80" s="120" t="s">
        <v>283</v>
      </c>
      <c r="H80" s="121">
        <v>0.84</v>
      </c>
      <c r="I80" s="122">
        <v>1</v>
      </c>
      <c r="J80" s="120">
        <v>100</v>
      </c>
      <c r="K80" s="120"/>
      <c r="L80" s="123">
        <f>F76*H80*I80*J80</f>
        <v>0</v>
      </c>
      <c r="M80" s="1" t="s">
        <v>288</v>
      </c>
      <c r="N80" s="88" t="s">
        <v>289</v>
      </c>
    </row>
    <row r="81" spans="2:14">
      <c r="B81" s="17"/>
      <c r="F81" s="154">
        <f>DASHBOARD!$D$112</f>
        <v>0</v>
      </c>
      <c r="G81" s="155" t="s">
        <v>386</v>
      </c>
      <c r="H81" s="156">
        <f>DASHBOARD!$D$42</f>
        <v>30</v>
      </c>
      <c r="I81" s="157">
        <v>8</v>
      </c>
      <c r="J81" s="155">
        <f>((DASHBOARD!$D$113*100)/480)*(8/7)</f>
        <v>1.1904761904761905</v>
      </c>
      <c r="K81" s="155">
        <f>D23*F67*F81*I81*J81</f>
        <v>0</v>
      </c>
      <c r="L81" s="158">
        <f>F81*H81*I81*J81</f>
        <v>0</v>
      </c>
      <c r="M81" s="1" t="s">
        <v>460</v>
      </c>
      <c r="N81" s="88" t="s">
        <v>387</v>
      </c>
    </row>
    <row r="82" spans="2:14">
      <c r="B82" s="17"/>
      <c r="F82" s="159" t="s">
        <v>281</v>
      </c>
      <c r="G82" s="155" t="s">
        <v>382</v>
      </c>
      <c r="H82" s="156">
        <f>DASHBOARD!$D$59</f>
        <v>0.23960000000000001</v>
      </c>
      <c r="I82" s="157">
        <v>1</v>
      </c>
      <c r="J82" s="155">
        <v>100</v>
      </c>
      <c r="K82" s="155"/>
      <c r="L82" s="158">
        <f>F81*H82*I82*J82</f>
        <v>0</v>
      </c>
      <c r="M82" s="1" t="s">
        <v>388</v>
      </c>
      <c r="N82" s="88"/>
    </row>
    <row r="83" spans="2:14">
      <c r="B83" s="17"/>
      <c r="F83" s="159" t="s">
        <v>380</v>
      </c>
      <c r="G83" s="155" t="s">
        <v>383</v>
      </c>
      <c r="H83" s="156">
        <f>DASHBOARD!$D$60</f>
        <v>1.7004999999999999</v>
      </c>
      <c r="I83" s="157">
        <v>1</v>
      </c>
      <c r="J83" s="155">
        <v>100</v>
      </c>
      <c r="K83" s="155"/>
      <c r="L83" s="158">
        <f>F81*H83*I83*J83</f>
        <v>0</v>
      </c>
      <c r="M83" s="1" t="s">
        <v>388</v>
      </c>
      <c r="N83" s="88"/>
    </row>
    <row r="84" spans="2:14">
      <c r="B84" s="17"/>
      <c r="F84" s="154"/>
      <c r="G84" s="155" t="s">
        <v>41</v>
      </c>
      <c r="H84" s="156">
        <f>DASHBOARD!$D$57</f>
        <v>3.95</v>
      </c>
      <c r="I84" s="157">
        <v>1</v>
      </c>
      <c r="J84" s="155">
        <f>I81*J81/2</f>
        <v>4.7619047619047619</v>
      </c>
      <c r="K84" s="155"/>
      <c r="L84" s="158">
        <f>F81*H84*I84*J84</f>
        <v>0</v>
      </c>
      <c r="M84" s="1" t="s">
        <v>385</v>
      </c>
      <c r="N84" s="88"/>
    </row>
    <row r="85" spans="2:14">
      <c r="B85" s="17"/>
      <c r="F85" s="154"/>
      <c r="G85" s="155" t="s">
        <v>384</v>
      </c>
      <c r="H85" s="156">
        <f>DASHBOARD!$D$58</f>
        <v>13.95</v>
      </c>
      <c r="I85" s="157">
        <v>1</v>
      </c>
      <c r="J85" s="155">
        <f>I81*J81/2</f>
        <v>4.7619047619047619</v>
      </c>
      <c r="K85" s="155"/>
      <c r="L85" s="158">
        <f>F81*H85*I85*J85</f>
        <v>0</v>
      </c>
      <c r="M85" s="1" t="s">
        <v>385</v>
      </c>
      <c r="N85" s="88"/>
    </row>
    <row r="86" spans="2:14">
      <c r="B86" s="17"/>
      <c r="F86" s="154"/>
      <c r="G86" s="155" t="s">
        <v>389</v>
      </c>
      <c r="H86" s="156">
        <f>DASHBOARD!$D$71</f>
        <v>2.2799999999999998</v>
      </c>
      <c r="I86" s="157">
        <v>1</v>
      </c>
      <c r="J86" s="155">
        <v>100</v>
      </c>
      <c r="K86" s="155"/>
      <c r="L86" s="158">
        <f>F81*H86*I86*J86</f>
        <v>0</v>
      </c>
      <c r="M86" s="1" t="s">
        <v>390</v>
      </c>
      <c r="N86" s="88" t="s">
        <v>391</v>
      </c>
    </row>
    <row r="87" spans="2:14">
      <c r="B87" s="17"/>
      <c r="F87" s="154"/>
      <c r="G87" s="155" t="s">
        <v>392</v>
      </c>
      <c r="H87" s="156">
        <f>DASHBOARD!$D$72</f>
        <v>0.39</v>
      </c>
      <c r="I87" s="157">
        <v>1</v>
      </c>
      <c r="J87" s="155">
        <v>100</v>
      </c>
      <c r="K87" s="155"/>
      <c r="L87" s="158">
        <f>F81*H87*I87*J87</f>
        <v>0</v>
      </c>
      <c r="M87" s="1" t="s">
        <v>393</v>
      </c>
      <c r="N87" s="88" t="s">
        <v>394</v>
      </c>
    </row>
    <row r="88" spans="2:14" ht="31.5">
      <c r="B88" s="17"/>
      <c r="F88" s="2">
        <f>DASHBOARD!D128*(1-DASHBOARD!D123)</f>
        <v>0</v>
      </c>
      <c r="G88" s="42" t="s">
        <v>14</v>
      </c>
      <c r="H88" s="3">
        <f>DASHBOARD!$D$35</f>
        <v>24.612000000000002</v>
      </c>
      <c r="I88" s="32">
        <v>8</v>
      </c>
      <c r="J88" s="11">
        <f>1.25*(8/7)</f>
        <v>1.4285714285714284</v>
      </c>
      <c r="K88" s="11">
        <f>D23*F88*I88*J88</f>
        <v>0</v>
      </c>
      <c r="L88" s="6">
        <f t="shared" si="1"/>
        <v>281.27999999999997</v>
      </c>
      <c r="M88" s="72" t="s">
        <v>269</v>
      </c>
      <c r="N88" s="87" t="s">
        <v>111</v>
      </c>
    </row>
    <row r="89" spans="2:14" ht="31.5">
      <c r="B89" s="17"/>
      <c r="G89" s="42" t="s">
        <v>6</v>
      </c>
      <c r="H89" s="3">
        <f>DASHBOARD!$D$40</f>
        <v>24.276</v>
      </c>
      <c r="I89" s="32">
        <v>8</v>
      </c>
      <c r="J89" s="11">
        <f>0.625*(8/7)</f>
        <v>0.71428571428571419</v>
      </c>
      <c r="K89" s="11">
        <f>D23*F88*I89*J89</f>
        <v>0</v>
      </c>
      <c r="L89" s="6">
        <f t="shared" si="1"/>
        <v>138.71999999999997</v>
      </c>
      <c r="M89" s="1" t="s">
        <v>268</v>
      </c>
      <c r="N89" s="87" t="s">
        <v>112</v>
      </c>
    </row>
    <row r="90" spans="2:14">
      <c r="B90" s="17"/>
      <c r="G90" s="42" t="s">
        <v>27</v>
      </c>
      <c r="H90" s="3">
        <f>DASHBOARD!$D$39</f>
        <v>30</v>
      </c>
      <c r="I90" s="32">
        <v>8</v>
      </c>
      <c r="J90" s="53">
        <v>0.1</v>
      </c>
      <c r="K90" s="11">
        <f>D23*F88*I90*J90</f>
        <v>0</v>
      </c>
      <c r="L90" s="6">
        <f t="shared" si="1"/>
        <v>24</v>
      </c>
      <c r="M90" s="1" t="s">
        <v>260</v>
      </c>
      <c r="N90" s="87" t="s">
        <v>115</v>
      </c>
    </row>
    <row r="91" spans="2:14">
      <c r="B91" s="17"/>
      <c r="G91" s="5" t="s">
        <v>8</v>
      </c>
      <c r="H91" s="7">
        <f>DASHBOARD!$D$56</f>
        <v>0.16259999999999999</v>
      </c>
      <c r="I91" s="34">
        <v>1</v>
      </c>
      <c r="J91" s="11">
        <f>4*J88</f>
        <v>5.7142857142857135</v>
      </c>
      <c r="K91" s="11"/>
      <c r="L91" s="6">
        <f t="shared" si="1"/>
        <v>0.92914285714285694</v>
      </c>
      <c r="M91" s="1" t="s">
        <v>121</v>
      </c>
      <c r="N91" s="87" t="s">
        <v>116</v>
      </c>
    </row>
    <row r="92" spans="2:14">
      <c r="B92" s="17"/>
      <c r="G92" s="5" t="s">
        <v>41</v>
      </c>
      <c r="H92" s="7">
        <f>DASHBOARD!$D$57</f>
        <v>3.95</v>
      </c>
      <c r="I92" s="34">
        <v>1</v>
      </c>
      <c r="J92" s="11">
        <f>(4*J89)+(4*J90)</f>
        <v>3.2571428571428567</v>
      </c>
      <c r="K92" s="11"/>
      <c r="L92" s="6">
        <f t="shared" si="1"/>
        <v>12.865714285714285</v>
      </c>
      <c r="M92" s="1" t="s">
        <v>122</v>
      </c>
      <c r="N92" s="87" t="s">
        <v>117</v>
      </c>
    </row>
    <row r="93" spans="2:14">
      <c r="B93" s="17"/>
      <c r="G93" s="5" t="s">
        <v>9</v>
      </c>
      <c r="H93" s="7">
        <f>DASHBOARD!$D$58</f>
        <v>13.95</v>
      </c>
      <c r="I93" s="34">
        <v>1</v>
      </c>
      <c r="J93" s="11">
        <f>(4*J89)+(4*J90)</f>
        <v>3.2571428571428567</v>
      </c>
      <c r="K93" s="11"/>
      <c r="L93" s="6">
        <f t="shared" si="1"/>
        <v>45.437142857142845</v>
      </c>
      <c r="M93" s="1" t="s">
        <v>122</v>
      </c>
      <c r="N93" s="87" t="s">
        <v>118</v>
      </c>
    </row>
    <row r="94" spans="2:14">
      <c r="B94" s="17"/>
      <c r="G94" s="5" t="s">
        <v>16</v>
      </c>
      <c r="H94" s="7">
        <f>DASHBOARD!$D$59</f>
        <v>0.23960000000000001</v>
      </c>
      <c r="I94" s="34">
        <v>1</v>
      </c>
      <c r="J94" s="12">
        <f>(4*J88)+(4*J90)+100</f>
        <v>106.11428571428571</v>
      </c>
      <c r="K94" s="12"/>
      <c r="L94" s="6">
        <f t="shared" si="1"/>
        <v>25.424982857142858</v>
      </c>
      <c r="M94" s="1" t="s">
        <v>123</v>
      </c>
      <c r="N94" s="87" t="s">
        <v>119</v>
      </c>
    </row>
    <row r="95" spans="2:14">
      <c r="B95" s="17"/>
      <c r="G95" s="5" t="s">
        <v>10</v>
      </c>
      <c r="H95" s="7">
        <f>DASHBOARD!$D$60</f>
        <v>1.7004999999999999</v>
      </c>
      <c r="I95" s="34">
        <v>1</v>
      </c>
      <c r="J95" s="12">
        <f>(4*J90)+100</f>
        <v>100.4</v>
      </c>
      <c r="K95" s="12"/>
      <c r="L95" s="6">
        <f t="shared" si="1"/>
        <v>170.7302</v>
      </c>
      <c r="M95" s="1" t="s">
        <v>124</v>
      </c>
      <c r="N95" s="87" t="s">
        <v>119</v>
      </c>
    </row>
    <row r="96" spans="2:14">
      <c r="B96" s="17"/>
      <c r="G96" s="5" t="s">
        <v>273</v>
      </c>
      <c r="H96" s="7">
        <f>DASHBOARD!$D$63</f>
        <v>1.8685</v>
      </c>
      <c r="I96" s="34">
        <v>1</v>
      </c>
      <c r="J96" s="5">
        <v>100</v>
      </c>
      <c r="K96" s="5"/>
      <c r="L96" s="6">
        <f t="shared" si="1"/>
        <v>186.85</v>
      </c>
      <c r="M96" s="1" t="s">
        <v>270</v>
      </c>
      <c r="N96" s="89" t="s">
        <v>271</v>
      </c>
    </row>
    <row r="97" spans="2:14">
      <c r="B97" s="17"/>
      <c r="F97" s="119">
        <f>DASHBOARD!$D$110</f>
        <v>0</v>
      </c>
      <c r="G97" s="120" t="s">
        <v>6</v>
      </c>
      <c r="H97" s="121">
        <f>DASHBOARD!$D$40</f>
        <v>24.276</v>
      </c>
      <c r="I97" s="122">
        <v>8</v>
      </c>
      <c r="J97" s="120">
        <f>0.625*F97*(8/7)</f>
        <v>0</v>
      </c>
      <c r="K97" s="120"/>
      <c r="L97" s="123">
        <f>F97*H97*I97*J97</f>
        <v>0</v>
      </c>
      <c r="M97" s="1" t="s">
        <v>287</v>
      </c>
      <c r="N97" s="89"/>
    </row>
    <row r="98" spans="2:14">
      <c r="B98" s="17"/>
      <c r="F98" s="124" t="s">
        <v>281</v>
      </c>
      <c r="G98" s="120" t="s">
        <v>14</v>
      </c>
      <c r="H98" s="121">
        <f>DASHBOARD!$D$35</f>
        <v>24.612000000000002</v>
      </c>
      <c r="I98" s="122">
        <v>8</v>
      </c>
      <c r="J98" s="120">
        <f>0.625*(8/7)</f>
        <v>0.71428571428571419</v>
      </c>
      <c r="K98" s="120"/>
      <c r="L98" s="123">
        <f>F97*H98*I98*J98</f>
        <v>0</v>
      </c>
      <c r="M98" s="1" t="s">
        <v>287</v>
      </c>
      <c r="N98" s="89"/>
    </row>
    <row r="99" spans="2:14">
      <c r="B99" s="17"/>
      <c r="F99" s="124"/>
      <c r="G99" s="120" t="s">
        <v>291</v>
      </c>
      <c r="H99" s="121">
        <f>DASHBOARD!$D$59</f>
        <v>0.23960000000000001</v>
      </c>
      <c r="I99" s="122">
        <v>1</v>
      </c>
      <c r="J99" s="120">
        <v>100</v>
      </c>
      <c r="K99" s="120"/>
      <c r="L99" s="123">
        <f>F97*H99*I99*J99</f>
        <v>0</v>
      </c>
      <c r="N99" s="89"/>
    </row>
    <row r="100" spans="2:14">
      <c r="B100" s="17"/>
      <c r="F100" s="119"/>
      <c r="G100" s="120" t="s">
        <v>284</v>
      </c>
      <c r="H100" s="121">
        <v>10</v>
      </c>
      <c r="I100" s="122">
        <v>1</v>
      </c>
      <c r="J100" s="120">
        <v>100</v>
      </c>
      <c r="K100" s="120"/>
      <c r="L100" s="123">
        <f>F97*H100*I100*J100</f>
        <v>0</v>
      </c>
      <c r="M100" s="1" t="s">
        <v>290</v>
      </c>
      <c r="N100" s="89"/>
    </row>
    <row r="101" spans="2:14">
      <c r="B101" s="17"/>
      <c r="F101" s="119"/>
      <c r="G101" s="120" t="s">
        <v>283</v>
      </c>
      <c r="H101" s="121">
        <v>0.84</v>
      </c>
      <c r="I101" s="122">
        <v>1</v>
      </c>
      <c r="J101" s="120">
        <v>100</v>
      </c>
      <c r="K101" s="120"/>
      <c r="L101" s="123">
        <f>F97*H101*I101*J101</f>
        <v>0</v>
      </c>
      <c r="M101" s="1" t="s">
        <v>288</v>
      </c>
      <c r="N101" s="88" t="s">
        <v>289</v>
      </c>
    </row>
    <row r="102" spans="2:14">
      <c r="B102" s="17"/>
      <c r="F102" s="154">
        <f>DASHBOARD!$D$112</f>
        <v>0</v>
      </c>
      <c r="G102" s="155" t="s">
        <v>386</v>
      </c>
      <c r="H102" s="156">
        <f>DASHBOARD!$D$42</f>
        <v>30</v>
      </c>
      <c r="I102" s="157">
        <v>8</v>
      </c>
      <c r="J102" s="155">
        <f>((DASHBOARD!$D$113*100)/480)*(8/7)</f>
        <v>1.1904761904761905</v>
      </c>
      <c r="K102" s="155">
        <f>D23*F88*F102*I102*J102</f>
        <v>0</v>
      </c>
      <c r="L102" s="158">
        <f>F102*H102*I102*J102</f>
        <v>0</v>
      </c>
      <c r="M102" s="1" t="s">
        <v>460</v>
      </c>
      <c r="N102" s="88" t="s">
        <v>387</v>
      </c>
    </row>
    <row r="103" spans="2:14">
      <c r="B103" s="17"/>
      <c r="F103" s="159" t="s">
        <v>281</v>
      </c>
      <c r="G103" s="155" t="s">
        <v>382</v>
      </c>
      <c r="H103" s="156">
        <f>DASHBOARD!$D$59</f>
        <v>0.23960000000000001</v>
      </c>
      <c r="I103" s="157">
        <v>1</v>
      </c>
      <c r="J103" s="155">
        <v>100</v>
      </c>
      <c r="K103" s="155"/>
      <c r="L103" s="158">
        <f>F102*H103*I103*J103</f>
        <v>0</v>
      </c>
      <c r="M103" s="1" t="s">
        <v>388</v>
      </c>
      <c r="N103" s="88"/>
    </row>
    <row r="104" spans="2:14">
      <c r="B104" s="17"/>
      <c r="F104" s="159" t="s">
        <v>380</v>
      </c>
      <c r="G104" s="155" t="s">
        <v>383</v>
      </c>
      <c r="H104" s="156">
        <f>DASHBOARD!$D$60</f>
        <v>1.7004999999999999</v>
      </c>
      <c r="I104" s="157">
        <v>1</v>
      </c>
      <c r="J104" s="155">
        <v>100</v>
      </c>
      <c r="K104" s="155"/>
      <c r="L104" s="158">
        <f>F102*H104*I104*J104</f>
        <v>0</v>
      </c>
      <c r="M104" s="1" t="s">
        <v>388</v>
      </c>
      <c r="N104" s="88"/>
    </row>
    <row r="105" spans="2:14">
      <c r="B105" s="17"/>
      <c r="F105" s="154"/>
      <c r="G105" s="155" t="s">
        <v>41</v>
      </c>
      <c r="H105" s="156">
        <f>DASHBOARD!$D$57</f>
        <v>3.95</v>
      </c>
      <c r="I105" s="157">
        <v>1</v>
      </c>
      <c r="J105" s="155">
        <f>I102*J102/2</f>
        <v>4.7619047619047619</v>
      </c>
      <c r="K105" s="155"/>
      <c r="L105" s="158">
        <f>F102*H105*I105*J105</f>
        <v>0</v>
      </c>
      <c r="M105" s="1" t="s">
        <v>385</v>
      </c>
      <c r="N105" s="88"/>
    </row>
    <row r="106" spans="2:14">
      <c r="B106" s="17"/>
      <c r="F106" s="154"/>
      <c r="G106" s="155" t="s">
        <v>384</v>
      </c>
      <c r="H106" s="156">
        <f>DASHBOARD!$D$58</f>
        <v>13.95</v>
      </c>
      <c r="I106" s="157">
        <v>1</v>
      </c>
      <c r="J106" s="155">
        <f>I102*J102/2</f>
        <v>4.7619047619047619</v>
      </c>
      <c r="K106" s="155"/>
      <c r="L106" s="158">
        <f>F102*H106*I106*J106</f>
        <v>0</v>
      </c>
      <c r="M106" s="1" t="s">
        <v>385</v>
      </c>
      <c r="N106" s="88"/>
    </row>
    <row r="107" spans="2:14">
      <c r="B107" s="17"/>
      <c r="F107" s="154"/>
      <c r="G107" s="155" t="s">
        <v>389</v>
      </c>
      <c r="H107" s="156">
        <f>DASHBOARD!$D$71</f>
        <v>2.2799999999999998</v>
      </c>
      <c r="I107" s="157">
        <v>1</v>
      </c>
      <c r="J107" s="155">
        <v>100</v>
      </c>
      <c r="K107" s="155"/>
      <c r="L107" s="158">
        <f>F102*H107*I107*J107</f>
        <v>0</v>
      </c>
      <c r="M107" s="1" t="s">
        <v>390</v>
      </c>
      <c r="N107" s="88" t="s">
        <v>391</v>
      </c>
    </row>
    <row r="108" spans="2:14">
      <c r="B108" s="17"/>
      <c r="F108" s="154"/>
      <c r="G108" s="155" t="s">
        <v>392</v>
      </c>
      <c r="H108" s="156">
        <f>DASHBOARD!$D$72</f>
        <v>0.39</v>
      </c>
      <c r="I108" s="157">
        <v>1</v>
      </c>
      <c r="J108" s="155">
        <v>100</v>
      </c>
      <c r="K108" s="155"/>
      <c r="L108" s="158">
        <f>F102*H108*I108*J108</f>
        <v>0</v>
      </c>
      <c r="M108" s="1" t="s">
        <v>393</v>
      </c>
      <c r="N108" s="88" t="s">
        <v>394</v>
      </c>
    </row>
    <row r="109" spans="2:14" ht="65.849999999999994" customHeight="1">
      <c r="B109" s="17"/>
      <c r="C109" s="26"/>
      <c r="D109" s="115">
        <f>(1-(C5/C4))*0.3*DASHBOARD!$D$139</f>
        <v>7.6423500000000194E-5</v>
      </c>
      <c r="E109" s="21" t="s">
        <v>257</v>
      </c>
      <c r="F109" s="2">
        <f>DASHBOARD!D123</f>
        <v>0</v>
      </c>
      <c r="G109" s="41" t="s">
        <v>14</v>
      </c>
      <c r="H109" s="7">
        <f>DASHBOARD!$D$35</f>
        <v>24.612000000000002</v>
      </c>
      <c r="I109" s="34">
        <v>8</v>
      </c>
      <c r="J109" s="5">
        <f>J135/2</f>
        <v>1.1428571428571428</v>
      </c>
      <c r="K109" s="11">
        <f>D109*F109*I109*J109</f>
        <v>0</v>
      </c>
      <c r="L109" s="6">
        <f>H109*I109*J109</f>
        <v>225.024</v>
      </c>
      <c r="M109" s="1" t="s">
        <v>164</v>
      </c>
      <c r="N109" s="83" t="s">
        <v>111</v>
      </c>
    </row>
    <row r="110" spans="2:14" ht="37.35" customHeight="1">
      <c r="B110" s="17"/>
      <c r="G110" s="41" t="s">
        <v>17</v>
      </c>
      <c r="H110" s="7">
        <f>DASHBOARD!$D$36</f>
        <v>45.12</v>
      </c>
      <c r="I110" s="34">
        <v>8</v>
      </c>
      <c r="J110" s="5">
        <f>2*(8/7)</f>
        <v>2.2857142857142856</v>
      </c>
      <c r="K110" s="11">
        <f>D109*F109*I110*J110</f>
        <v>0</v>
      </c>
      <c r="L110" s="6">
        <f>H110*I110*J110</f>
        <v>825.05142857142846</v>
      </c>
      <c r="N110" s="87" t="s">
        <v>112</v>
      </c>
    </row>
    <row r="111" spans="2:14">
      <c r="B111" s="17"/>
      <c r="G111" s="41" t="s">
        <v>12</v>
      </c>
      <c r="H111" s="7">
        <f>DASHBOARD!$D$37</f>
        <v>19.8</v>
      </c>
      <c r="I111" s="34">
        <v>8</v>
      </c>
      <c r="J111" s="5">
        <f>2*(8/7)</f>
        <v>2.2857142857142856</v>
      </c>
      <c r="K111" s="11">
        <f>D109*F109*I111*J111</f>
        <v>0</v>
      </c>
      <c r="L111" s="6">
        <f t="shared" ref="L111:L121" si="2">H111*I111*J111</f>
        <v>362.05714285714288</v>
      </c>
      <c r="N111" s="87" t="s">
        <v>113</v>
      </c>
    </row>
    <row r="112" spans="2:14">
      <c r="B112" s="17"/>
      <c r="G112" s="41" t="s">
        <v>13</v>
      </c>
      <c r="H112" s="7">
        <f>DASHBOARD!$D$38</f>
        <v>39.6</v>
      </c>
      <c r="I112" s="34">
        <v>8</v>
      </c>
      <c r="J112" s="5">
        <f>0.18*(8/7)</f>
        <v>0.20571428571428568</v>
      </c>
      <c r="K112" s="71">
        <f>D109*F109*I112*J112</f>
        <v>0</v>
      </c>
      <c r="L112" s="6">
        <f t="shared" si="2"/>
        <v>65.170285714285711</v>
      </c>
      <c r="N112" s="87" t="s">
        <v>114</v>
      </c>
    </row>
    <row r="113" spans="2:14">
      <c r="B113" s="17"/>
      <c r="G113" s="41" t="s">
        <v>449</v>
      </c>
      <c r="H113" s="7">
        <f>DASHBOARD!$D$46</f>
        <v>54.804000000000002</v>
      </c>
      <c r="I113" s="34">
        <v>8</v>
      </c>
      <c r="J113" s="5">
        <f>0.19*(8/7)</f>
        <v>0.21714285714285714</v>
      </c>
      <c r="K113" s="249">
        <f>D109*F109*I113*J113</f>
        <v>0</v>
      </c>
      <c r="L113" s="6">
        <f t="shared" si="2"/>
        <v>95.202377142857145</v>
      </c>
      <c r="N113" s="87" t="s">
        <v>115</v>
      </c>
    </row>
    <row r="114" spans="2:14">
      <c r="B114" s="17"/>
      <c r="G114" s="41" t="s">
        <v>325</v>
      </c>
      <c r="H114" s="7">
        <f>DASHBOARD!$D$43</f>
        <v>21.599999999999998</v>
      </c>
      <c r="I114" s="34">
        <v>8</v>
      </c>
      <c r="J114" s="5">
        <f>0.75*(8/7)</f>
        <v>0.8571428571428571</v>
      </c>
      <c r="K114" s="249">
        <f>D110*F110*I114*J114</f>
        <v>0</v>
      </c>
      <c r="L114" s="6">
        <f t="shared" si="2"/>
        <v>148.1142857142857</v>
      </c>
      <c r="M114" s="1" t="s">
        <v>121</v>
      </c>
      <c r="N114" s="87" t="s">
        <v>116</v>
      </c>
    </row>
    <row r="115" spans="2:14">
      <c r="B115" s="17"/>
      <c r="G115" s="5" t="s">
        <v>8</v>
      </c>
      <c r="H115" s="7">
        <f>DASHBOARD!$D$56</f>
        <v>0.16259999999999999</v>
      </c>
      <c r="I115" s="34">
        <v>1</v>
      </c>
      <c r="J115" s="5">
        <v>8</v>
      </c>
      <c r="K115" s="5"/>
      <c r="L115" s="6">
        <f t="shared" si="2"/>
        <v>1.3008</v>
      </c>
      <c r="M115" s="1" t="s">
        <v>122</v>
      </c>
      <c r="N115" s="87" t="s">
        <v>117</v>
      </c>
    </row>
    <row r="116" spans="2:14">
      <c r="B116" s="17"/>
      <c r="G116" s="5" t="s">
        <v>41</v>
      </c>
      <c r="H116" s="7">
        <f>DASHBOARD!$D$57</f>
        <v>3.95</v>
      </c>
      <c r="I116" s="34">
        <v>1</v>
      </c>
      <c r="J116" s="5">
        <v>8</v>
      </c>
      <c r="K116" s="5"/>
      <c r="L116" s="6">
        <f t="shared" si="2"/>
        <v>31.6</v>
      </c>
      <c r="M116" s="1" t="s">
        <v>122</v>
      </c>
      <c r="N116" s="87" t="s">
        <v>118</v>
      </c>
    </row>
    <row r="117" spans="2:14">
      <c r="B117" s="17"/>
      <c r="G117" s="5" t="s">
        <v>9</v>
      </c>
      <c r="H117" s="7">
        <f>DASHBOARD!$D$58</f>
        <v>13.95</v>
      </c>
      <c r="I117" s="34">
        <v>1</v>
      </c>
      <c r="J117" s="5">
        <v>11</v>
      </c>
      <c r="K117" s="5"/>
      <c r="L117" s="6">
        <f t="shared" si="2"/>
        <v>153.44999999999999</v>
      </c>
      <c r="M117" s="1" t="s">
        <v>123</v>
      </c>
      <c r="N117" s="87" t="s">
        <v>119</v>
      </c>
    </row>
    <row r="118" spans="2:14">
      <c r="B118" s="17"/>
      <c r="G118" s="5" t="s">
        <v>16</v>
      </c>
      <c r="H118" s="7">
        <f>DASHBOARD!$D$59</f>
        <v>0.23960000000000001</v>
      </c>
      <c r="I118" s="34">
        <v>1</v>
      </c>
      <c r="J118" s="5">
        <v>208</v>
      </c>
      <c r="K118" s="5"/>
      <c r="L118" s="6">
        <f t="shared" si="2"/>
        <v>49.836800000000004</v>
      </c>
      <c r="M118" s="1" t="s">
        <v>124</v>
      </c>
      <c r="N118" s="87" t="s">
        <v>119</v>
      </c>
    </row>
    <row r="119" spans="2:14">
      <c r="B119" s="17"/>
      <c r="G119" s="5" t="s">
        <v>10</v>
      </c>
      <c r="H119" s="7">
        <f>DASHBOARD!$D$60</f>
        <v>1.7004999999999999</v>
      </c>
      <c r="I119" s="34">
        <v>1</v>
      </c>
      <c r="J119" s="5">
        <v>200</v>
      </c>
      <c r="K119" s="5"/>
      <c r="L119" s="6">
        <f t="shared" si="2"/>
        <v>340.09999999999997</v>
      </c>
      <c r="M119" s="1" t="s">
        <v>145</v>
      </c>
      <c r="N119" s="89" t="s">
        <v>147</v>
      </c>
    </row>
    <row r="120" spans="2:14">
      <c r="B120" s="17"/>
      <c r="G120" s="5" t="s">
        <v>144</v>
      </c>
      <c r="H120" s="7">
        <f>DASHBOARD!$D$61</f>
        <v>3.32</v>
      </c>
      <c r="I120" s="34">
        <v>1</v>
      </c>
      <c r="J120" s="5">
        <v>100</v>
      </c>
      <c r="K120" s="5"/>
      <c r="L120" s="6">
        <f t="shared" si="2"/>
        <v>332</v>
      </c>
      <c r="M120" s="1" t="s">
        <v>146</v>
      </c>
      <c r="N120" s="89" t="s">
        <v>148</v>
      </c>
    </row>
    <row r="121" spans="2:14">
      <c r="B121" s="17"/>
      <c r="G121" s="5" t="s">
        <v>11</v>
      </c>
      <c r="H121" s="7">
        <f>DASHBOARD!$D$62</f>
        <v>0.72</v>
      </c>
      <c r="I121" s="34">
        <v>1</v>
      </c>
      <c r="J121" s="5">
        <f>100</f>
        <v>100</v>
      </c>
      <c r="K121" s="5"/>
      <c r="L121" s="6">
        <f t="shared" si="2"/>
        <v>72</v>
      </c>
      <c r="N121" s="89"/>
    </row>
    <row r="122" spans="2:14">
      <c r="B122" s="17"/>
      <c r="F122" s="119">
        <f>DASHBOARD!$D$110</f>
        <v>0</v>
      </c>
      <c r="G122" s="120" t="s">
        <v>17</v>
      </c>
      <c r="H122" s="121">
        <f>DASHBOARD!$D$36</f>
        <v>45.12</v>
      </c>
      <c r="I122" s="122">
        <v>8</v>
      </c>
      <c r="J122" s="120">
        <f>0.625*F122*(8/7)</f>
        <v>0</v>
      </c>
      <c r="K122" s="120"/>
      <c r="L122" s="123">
        <f>F122*H122*I122*J122</f>
        <v>0</v>
      </c>
      <c r="M122" s="1" t="s">
        <v>287</v>
      </c>
      <c r="N122" s="89"/>
    </row>
    <row r="123" spans="2:14">
      <c r="B123" s="17"/>
      <c r="F123" s="124" t="s">
        <v>281</v>
      </c>
      <c r="G123" s="120" t="s">
        <v>14</v>
      </c>
      <c r="H123" s="121">
        <f>DASHBOARD!$D$35</f>
        <v>24.612000000000002</v>
      </c>
      <c r="I123" s="122">
        <v>8</v>
      </c>
      <c r="J123" s="120">
        <f>0.625*(8/7)</f>
        <v>0.71428571428571419</v>
      </c>
      <c r="K123" s="120"/>
      <c r="L123" s="123">
        <f>F122*H123*I123*J123</f>
        <v>0</v>
      </c>
      <c r="M123" s="1" t="s">
        <v>287</v>
      </c>
      <c r="N123" s="89"/>
    </row>
    <row r="124" spans="2:14">
      <c r="B124" s="17"/>
      <c r="F124" s="124"/>
      <c r="G124" s="120" t="s">
        <v>291</v>
      </c>
      <c r="H124" s="121">
        <f>DASHBOARD!$D$59</f>
        <v>0.23960000000000001</v>
      </c>
      <c r="I124" s="122">
        <v>1</v>
      </c>
      <c r="J124" s="120">
        <v>100</v>
      </c>
      <c r="K124" s="120"/>
      <c r="L124" s="123">
        <f>F122*H124*I124*J124</f>
        <v>0</v>
      </c>
      <c r="N124" s="89"/>
    </row>
    <row r="125" spans="2:14">
      <c r="B125" s="17"/>
      <c r="F125" s="119"/>
      <c r="G125" s="120" t="s">
        <v>284</v>
      </c>
      <c r="H125" s="121">
        <v>10</v>
      </c>
      <c r="I125" s="122">
        <v>1</v>
      </c>
      <c r="J125" s="120">
        <v>100</v>
      </c>
      <c r="K125" s="120"/>
      <c r="L125" s="123">
        <f>F122*H125*I125*J125</f>
        <v>0</v>
      </c>
      <c r="M125" s="1" t="s">
        <v>290</v>
      </c>
      <c r="N125" s="89"/>
    </row>
    <row r="126" spans="2:14">
      <c r="B126" s="17"/>
      <c r="F126" s="119"/>
      <c r="G126" s="120" t="s">
        <v>283</v>
      </c>
      <c r="H126" s="121">
        <v>0.84</v>
      </c>
      <c r="I126" s="122">
        <v>1</v>
      </c>
      <c r="J126" s="120">
        <v>100</v>
      </c>
      <c r="K126" s="120"/>
      <c r="L126" s="123">
        <f>F122*H126*I126*J126</f>
        <v>0</v>
      </c>
      <c r="M126" s="1" t="s">
        <v>288</v>
      </c>
      <c r="N126" s="88" t="s">
        <v>289</v>
      </c>
    </row>
    <row r="127" spans="2:14">
      <c r="B127" s="17"/>
      <c r="F127" s="154">
        <f>DASHBOARD!$D$112</f>
        <v>0</v>
      </c>
      <c r="G127" s="155" t="s">
        <v>386</v>
      </c>
      <c r="H127" s="156">
        <f>DASHBOARD!$D$42</f>
        <v>30</v>
      </c>
      <c r="I127" s="157">
        <v>8</v>
      </c>
      <c r="J127" s="155">
        <f>((DASHBOARD!$D$113*100)/480)*(8/7)</f>
        <v>1.1904761904761905</v>
      </c>
      <c r="K127" s="155">
        <f>D109*F109*F127*I127*J127</f>
        <v>0</v>
      </c>
      <c r="L127" s="158">
        <f>F127*H127*I127*J127</f>
        <v>0</v>
      </c>
      <c r="M127" s="1" t="s">
        <v>460</v>
      </c>
      <c r="N127" s="88" t="s">
        <v>387</v>
      </c>
    </row>
    <row r="128" spans="2:14">
      <c r="B128" s="17"/>
      <c r="F128" s="159" t="s">
        <v>281</v>
      </c>
      <c r="G128" s="155" t="s">
        <v>382</v>
      </c>
      <c r="H128" s="156">
        <f>DASHBOARD!$D$59</f>
        <v>0.23960000000000001</v>
      </c>
      <c r="I128" s="157">
        <v>1</v>
      </c>
      <c r="J128" s="155">
        <v>100</v>
      </c>
      <c r="K128" s="155"/>
      <c r="L128" s="158">
        <f>F127*H128*I128*J128</f>
        <v>0</v>
      </c>
      <c r="M128" s="1" t="s">
        <v>388</v>
      </c>
      <c r="N128" s="88"/>
    </row>
    <row r="129" spans="2:14">
      <c r="B129" s="17"/>
      <c r="F129" s="159" t="s">
        <v>380</v>
      </c>
      <c r="G129" s="155" t="s">
        <v>383</v>
      </c>
      <c r="H129" s="156">
        <f>DASHBOARD!$D$60</f>
        <v>1.7004999999999999</v>
      </c>
      <c r="I129" s="157">
        <v>1</v>
      </c>
      <c r="J129" s="155">
        <v>100</v>
      </c>
      <c r="K129" s="155"/>
      <c r="L129" s="158">
        <f>F127*H129*I129*J129</f>
        <v>0</v>
      </c>
      <c r="M129" s="1" t="s">
        <v>388</v>
      </c>
      <c r="N129" s="88"/>
    </row>
    <row r="130" spans="2:14">
      <c r="B130" s="17"/>
      <c r="F130" s="154"/>
      <c r="G130" s="155" t="s">
        <v>41</v>
      </c>
      <c r="H130" s="156">
        <f>DASHBOARD!$D$57</f>
        <v>3.95</v>
      </c>
      <c r="I130" s="157">
        <v>1</v>
      </c>
      <c r="J130" s="155">
        <f>I127*J127/2</f>
        <v>4.7619047619047619</v>
      </c>
      <c r="K130" s="155"/>
      <c r="L130" s="158">
        <f>F127*H130*I130*J130</f>
        <v>0</v>
      </c>
      <c r="M130" s="1" t="s">
        <v>385</v>
      </c>
      <c r="N130" s="88"/>
    </row>
    <row r="131" spans="2:14">
      <c r="B131" s="17"/>
      <c r="F131" s="154"/>
      <c r="G131" s="155" t="s">
        <v>384</v>
      </c>
      <c r="H131" s="156">
        <f>DASHBOARD!$D$58</f>
        <v>13.95</v>
      </c>
      <c r="I131" s="157">
        <v>1</v>
      </c>
      <c r="J131" s="155">
        <f>I127*J127/2</f>
        <v>4.7619047619047619</v>
      </c>
      <c r="K131" s="155"/>
      <c r="L131" s="158">
        <f>F127*H131*I131*J131</f>
        <v>0</v>
      </c>
      <c r="M131" s="1" t="s">
        <v>385</v>
      </c>
      <c r="N131" s="88"/>
    </row>
    <row r="132" spans="2:14">
      <c r="B132" s="17"/>
      <c r="F132" s="154"/>
      <c r="G132" s="155" t="s">
        <v>389</v>
      </c>
      <c r="H132" s="156">
        <f>DASHBOARD!$D$71</f>
        <v>2.2799999999999998</v>
      </c>
      <c r="I132" s="157">
        <v>1</v>
      </c>
      <c r="J132" s="155">
        <v>100</v>
      </c>
      <c r="K132" s="155"/>
      <c r="L132" s="158">
        <f>F127*H132*I132*J132</f>
        <v>0</v>
      </c>
      <c r="M132" s="1" t="s">
        <v>390</v>
      </c>
      <c r="N132" s="88" t="s">
        <v>391</v>
      </c>
    </row>
    <row r="133" spans="2:14">
      <c r="B133" s="17"/>
      <c r="F133" s="154"/>
      <c r="G133" s="155" t="s">
        <v>392</v>
      </c>
      <c r="H133" s="156">
        <f>DASHBOARD!$D$72</f>
        <v>0.39</v>
      </c>
      <c r="I133" s="157">
        <v>1</v>
      </c>
      <c r="J133" s="155">
        <v>100</v>
      </c>
      <c r="K133" s="155"/>
      <c r="L133" s="158">
        <f>F127*H133*I133*J133</f>
        <v>0</v>
      </c>
      <c r="M133" s="1" t="s">
        <v>393</v>
      </c>
      <c r="N133" s="88" t="s">
        <v>394</v>
      </c>
    </row>
    <row r="134" spans="2:14" ht="63">
      <c r="B134" s="17"/>
      <c r="F134" s="2">
        <f>1-F109</f>
        <v>1</v>
      </c>
      <c r="G134" s="41" t="s">
        <v>14</v>
      </c>
      <c r="H134" s="7">
        <f>DASHBOARD!D127</f>
        <v>0.85</v>
      </c>
      <c r="I134" s="34">
        <v>6</v>
      </c>
      <c r="J134" s="5">
        <f>2*(8/7)</f>
        <v>2.2857142857142856</v>
      </c>
      <c r="K134" s="11">
        <f>D109*F134*I134*J134</f>
        <v>1.0480937142857169E-3</v>
      </c>
      <c r="L134" s="6">
        <f>H134*I134*J134</f>
        <v>11.657142857142855</v>
      </c>
      <c r="M134" s="1" t="s">
        <v>165</v>
      </c>
      <c r="N134" s="83" t="s">
        <v>111</v>
      </c>
    </row>
    <row r="135" spans="2:14">
      <c r="B135" s="17"/>
      <c r="G135" s="41" t="s">
        <v>17</v>
      </c>
      <c r="H135" s="7">
        <f>DASHBOARD!$D$36</f>
        <v>45.12</v>
      </c>
      <c r="I135" s="34">
        <v>8</v>
      </c>
      <c r="J135" s="5">
        <f>2*(8/7)</f>
        <v>2.2857142857142856</v>
      </c>
      <c r="K135" s="11">
        <f>D109*F134*I135*J135</f>
        <v>1.3974582857142891E-3</v>
      </c>
      <c r="L135" s="6">
        <f>H135*I135*J135</f>
        <v>825.05142857142846</v>
      </c>
      <c r="N135" s="87" t="s">
        <v>112</v>
      </c>
    </row>
    <row r="136" spans="2:14">
      <c r="B136" s="17"/>
      <c r="G136" s="41" t="s">
        <v>12</v>
      </c>
      <c r="H136" s="7">
        <f>DASHBOARD!$D$37</f>
        <v>19.8</v>
      </c>
      <c r="I136" s="34">
        <v>8</v>
      </c>
      <c r="J136" s="5">
        <f>2*(8/7)</f>
        <v>2.2857142857142856</v>
      </c>
      <c r="K136" s="11">
        <f>D109*F134*I136*J136</f>
        <v>1.3974582857142891E-3</v>
      </c>
      <c r="L136" s="6">
        <f t="shared" ref="L136:L146" si="3">H136*I136*J136</f>
        <v>362.05714285714288</v>
      </c>
      <c r="N136" s="87" t="s">
        <v>113</v>
      </c>
    </row>
    <row r="137" spans="2:14">
      <c r="B137" s="17"/>
      <c r="G137" s="41" t="s">
        <v>13</v>
      </c>
      <c r="H137" s="7">
        <f>DASHBOARD!$D$38</f>
        <v>39.6</v>
      </c>
      <c r="I137" s="34">
        <v>8</v>
      </c>
      <c r="J137" s="5">
        <f>0.18*(8/7)</f>
        <v>0.20571428571428568</v>
      </c>
      <c r="K137" s="71">
        <f>D109*F134*I137*J137</f>
        <v>1.2577124571428602E-4</v>
      </c>
      <c r="L137" s="6">
        <f t="shared" si="3"/>
        <v>65.170285714285711</v>
      </c>
      <c r="N137" s="87" t="s">
        <v>114</v>
      </c>
    </row>
    <row r="138" spans="2:14">
      <c r="B138" s="17"/>
      <c r="G138" s="41" t="s">
        <v>449</v>
      </c>
      <c r="H138" s="7">
        <f>DASHBOARD!$D$46</f>
        <v>54.804000000000002</v>
      </c>
      <c r="I138" s="34">
        <v>8</v>
      </c>
      <c r="J138" s="5">
        <f>0.19*(8/7)</f>
        <v>0.21714285714285714</v>
      </c>
      <c r="K138" s="249">
        <f>D109*F134*I138*J138</f>
        <v>1.3275853714285747E-4</v>
      </c>
      <c r="L138" s="6">
        <f t="shared" si="3"/>
        <v>95.202377142857145</v>
      </c>
      <c r="N138" s="87" t="s">
        <v>115</v>
      </c>
    </row>
    <row r="139" spans="2:14">
      <c r="B139" s="17"/>
      <c r="G139" s="41" t="s">
        <v>325</v>
      </c>
      <c r="H139" s="7">
        <f>DASHBOARD!$D$43</f>
        <v>21.599999999999998</v>
      </c>
      <c r="I139" s="34">
        <v>8</v>
      </c>
      <c r="J139" s="5">
        <f>0.75*(8/7)</f>
        <v>0.8571428571428571</v>
      </c>
      <c r="K139" s="249">
        <f>D110*F135*I139*J139</f>
        <v>0</v>
      </c>
      <c r="L139" s="6">
        <f t="shared" si="3"/>
        <v>148.1142857142857</v>
      </c>
      <c r="M139" s="1" t="s">
        <v>121</v>
      </c>
      <c r="N139" s="87" t="s">
        <v>116</v>
      </c>
    </row>
    <row r="140" spans="2:14">
      <c r="B140" s="17"/>
      <c r="G140" s="5" t="s">
        <v>8</v>
      </c>
      <c r="H140" s="7">
        <f>DASHBOARD!$D$56</f>
        <v>0.16259999999999999</v>
      </c>
      <c r="I140" s="34">
        <v>1</v>
      </c>
      <c r="J140" s="5">
        <v>8</v>
      </c>
      <c r="K140" s="5"/>
      <c r="L140" s="6">
        <f t="shared" si="3"/>
        <v>1.3008</v>
      </c>
      <c r="M140" s="1" t="s">
        <v>122</v>
      </c>
      <c r="N140" s="87" t="s">
        <v>117</v>
      </c>
    </row>
    <row r="141" spans="2:14">
      <c r="B141" s="17"/>
      <c r="G141" s="5" t="s">
        <v>41</v>
      </c>
      <c r="H141" s="7">
        <f>DASHBOARD!$D$57</f>
        <v>3.95</v>
      </c>
      <c r="I141" s="34">
        <v>1</v>
      </c>
      <c r="J141" s="5">
        <v>8</v>
      </c>
      <c r="K141" s="5"/>
      <c r="L141" s="6">
        <f t="shared" si="3"/>
        <v>31.6</v>
      </c>
      <c r="M141" s="1" t="s">
        <v>122</v>
      </c>
      <c r="N141" s="87" t="s">
        <v>118</v>
      </c>
    </row>
    <row r="142" spans="2:14">
      <c r="B142" s="17"/>
      <c r="G142" s="5" t="s">
        <v>9</v>
      </c>
      <c r="H142" s="7">
        <f>DASHBOARD!$D$58</f>
        <v>13.95</v>
      </c>
      <c r="I142" s="34">
        <v>1</v>
      </c>
      <c r="J142" s="5">
        <v>11</v>
      </c>
      <c r="K142" s="5"/>
      <c r="L142" s="6">
        <f t="shared" si="3"/>
        <v>153.44999999999999</v>
      </c>
      <c r="M142" s="1" t="s">
        <v>123</v>
      </c>
      <c r="N142" s="87" t="s">
        <v>119</v>
      </c>
    </row>
    <row r="143" spans="2:14">
      <c r="B143" s="17"/>
      <c r="G143" s="5" t="s">
        <v>16</v>
      </c>
      <c r="H143" s="7">
        <f>DASHBOARD!$D$59</f>
        <v>0.23960000000000001</v>
      </c>
      <c r="I143" s="34">
        <v>1</v>
      </c>
      <c r="J143" s="5">
        <v>208</v>
      </c>
      <c r="K143" s="5"/>
      <c r="L143" s="6">
        <f t="shared" si="3"/>
        <v>49.836800000000004</v>
      </c>
      <c r="M143" s="1" t="s">
        <v>124</v>
      </c>
      <c r="N143" s="87" t="s">
        <v>119</v>
      </c>
    </row>
    <row r="144" spans="2:14">
      <c r="B144" s="17"/>
      <c r="G144" s="5" t="s">
        <v>10</v>
      </c>
      <c r="H144" s="7">
        <f>DASHBOARD!$D$60</f>
        <v>1.7004999999999999</v>
      </c>
      <c r="I144" s="34">
        <v>1</v>
      </c>
      <c r="J144" s="5">
        <v>200</v>
      </c>
      <c r="K144" s="5"/>
      <c r="L144" s="6">
        <f t="shared" si="3"/>
        <v>340.09999999999997</v>
      </c>
      <c r="M144" s="1" t="s">
        <v>145</v>
      </c>
      <c r="N144" s="89" t="s">
        <v>147</v>
      </c>
    </row>
    <row r="145" spans="2:14">
      <c r="B145" s="17"/>
      <c r="G145" s="5" t="s">
        <v>144</v>
      </c>
      <c r="H145" s="7">
        <f>DASHBOARD!$D$61</f>
        <v>3.32</v>
      </c>
      <c r="I145" s="34">
        <v>1</v>
      </c>
      <c r="J145" s="5">
        <v>100</v>
      </c>
      <c r="K145" s="5"/>
      <c r="L145" s="6">
        <f t="shared" si="3"/>
        <v>332</v>
      </c>
      <c r="M145" s="1" t="s">
        <v>146</v>
      </c>
      <c r="N145" s="89" t="s">
        <v>148</v>
      </c>
    </row>
    <row r="146" spans="2:14">
      <c r="B146" s="17"/>
      <c r="G146" s="5" t="s">
        <v>11</v>
      </c>
      <c r="H146" s="7">
        <f>DASHBOARD!$D$62</f>
        <v>0.72</v>
      </c>
      <c r="I146" s="34">
        <v>1</v>
      </c>
      <c r="J146" s="5">
        <f>100</f>
        <v>100</v>
      </c>
      <c r="K146" s="5"/>
      <c r="L146" s="6">
        <f t="shared" si="3"/>
        <v>72</v>
      </c>
      <c r="N146" s="89"/>
    </row>
    <row r="147" spans="2:14">
      <c r="B147" s="17"/>
      <c r="F147" s="119">
        <f>DASHBOARD!$D$110</f>
        <v>0</v>
      </c>
      <c r="G147" s="120" t="s">
        <v>17</v>
      </c>
      <c r="H147" s="121">
        <f>DASHBOARD!$D$36</f>
        <v>45.12</v>
      </c>
      <c r="I147" s="122">
        <v>8</v>
      </c>
      <c r="J147" s="120">
        <f>0.625*F147*(8/7)</f>
        <v>0</v>
      </c>
      <c r="K147" s="120"/>
      <c r="L147" s="123">
        <f>F147*H147*I147*J147</f>
        <v>0</v>
      </c>
      <c r="M147" s="1" t="s">
        <v>287</v>
      </c>
      <c r="N147" s="89"/>
    </row>
    <row r="148" spans="2:14">
      <c r="B148" s="17"/>
      <c r="F148" s="124" t="s">
        <v>281</v>
      </c>
      <c r="G148" s="120" t="s">
        <v>14</v>
      </c>
      <c r="H148" s="121">
        <f>DASHBOARD!$D$35</f>
        <v>24.612000000000002</v>
      </c>
      <c r="I148" s="122">
        <v>8</v>
      </c>
      <c r="J148" s="120">
        <f>0.625*(8/7)</f>
        <v>0.71428571428571419</v>
      </c>
      <c r="K148" s="120"/>
      <c r="L148" s="123">
        <f>F147*H148*I148*J148</f>
        <v>0</v>
      </c>
      <c r="M148" s="1" t="s">
        <v>287</v>
      </c>
      <c r="N148" s="89"/>
    </row>
    <row r="149" spans="2:14">
      <c r="B149" s="17"/>
      <c r="F149" s="124"/>
      <c r="G149" s="120" t="s">
        <v>291</v>
      </c>
      <c r="H149" s="121">
        <f>DASHBOARD!$D$59</f>
        <v>0.23960000000000001</v>
      </c>
      <c r="I149" s="122">
        <v>1</v>
      </c>
      <c r="J149" s="120">
        <v>100</v>
      </c>
      <c r="K149" s="120"/>
      <c r="L149" s="123">
        <f>F147*H149*I149*J149</f>
        <v>0</v>
      </c>
      <c r="N149" s="89"/>
    </row>
    <row r="150" spans="2:14">
      <c r="B150" s="17"/>
      <c r="F150" s="119"/>
      <c r="G150" s="120" t="s">
        <v>284</v>
      </c>
      <c r="H150" s="121">
        <v>10</v>
      </c>
      <c r="I150" s="122">
        <v>1</v>
      </c>
      <c r="J150" s="120">
        <v>100</v>
      </c>
      <c r="K150" s="120"/>
      <c r="L150" s="123">
        <f>F147*H150*I150*J150</f>
        <v>0</v>
      </c>
      <c r="M150" s="1" t="s">
        <v>290</v>
      </c>
      <c r="N150" s="89"/>
    </row>
    <row r="151" spans="2:14">
      <c r="B151" s="17"/>
      <c r="F151" s="119"/>
      <c r="G151" s="120" t="s">
        <v>283</v>
      </c>
      <c r="H151" s="121">
        <v>0.84</v>
      </c>
      <c r="I151" s="122">
        <v>1</v>
      </c>
      <c r="J151" s="120">
        <v>100</v>
      </c>
      <c r="K151" s="120"/>
      <c r="L151" s="123">
        <f>F147*H151*I151*J151</f>
        <v>0</v>
      </c>
      <c r="M151" s="1" t="s">
        <v>288</v>
      </c>
      <c r="N151" s="88" t="s">
        <v>289</v>
      </c>
    </row>
    <row r="152" spans="2:14">
      <c r="B152" s="17"/>
      <c r="F152" s="154">
        <f>DASHBOARD!$D$112</f>
        <v>0</v>
      </c>
      <c r="G152" s="155" t="s">
        <v>386</v>
      </c>
      <c r="H152" s="156">
        <f>DASHBOARD!$D$42</f>
        <v>30</v>
      </c>
      <c r="I152" s="157">
        <v>8</v>
      </c>
      <c r="J152" s="155">
        <f>((DASHBOARD!$D$113*100)/480)*(8/7)</f>
        <v>1.1904761904761905</v>
      </c>
      <c r="K152" s="155">
        <f>D109*F134*F152*I152*J152</f>
        <v>0</v>
      </c>
      <c r="L152" s="158">
        <f>F152*H152*I152*J152</f>
        <v>0</v>
      </c>
      <c r="M152" s="1" t="s">
        <v>460</v>
      </c>
      <c r="N152" s="88" t="s">
        <v>387</v>
      </c>
    </row>
    <row r="153" spans="2:14">
      <c r="B153" s="17"/>
      <c r="F153" s="159" t="s">
        <v>281</v>
      </c>
      <c r="G153" s="155" t="s">
        <v>382</v>
      </c>
      <c r="H153" s="156">
        <f>DASHBOARD!$D$59</f>
        <v>0.23960000000000001</v>
      </c>
      <c r="I153" s="157">
        <v>1</v>
      </c>
      <c r="J153" s="155">
        <v>100</v>
      </c>
      <c r="K153" s="155"/>
      <c r="L153" s="158">
        <f>F152*H153*I153*J153</f>
        <v>0</v>
      </c>
      <c r="M153" s="1" t="s">
        <v>388</v>
      </c>
      <c r="N153" s="88"/>
    </row>
    <row r="154" spans="2:14">
      <c r="B154" s="17"/>
      <c r="F154" s="159" t="s">
        <v>380</v>
      </c>
      <c r="G154" s="155" t="s">
        <v>383</v>
      </c>
      <c r="H154" s="156">
        <f>DASHBOARD!$D$60</f>
        <v>1.7004999999999999</v>
      </c>
      <c r="I154" s="157">
        <v>1</v>
      </c>
      <c r="J154" s="155">
        <v>100</v>
      </c>
      <c r="K154" s="155"/>
      <c r="L154" s="158">
        <f>F152*H154*I154*J154</f>
        <v>0</v>
      </c>
      <c r="M154" s="1" t="s">
        <v>388</v>
      </c>
      <c r="N154" s="88"/>
    </row>
    <row r="155" spans="2:14">
      <c r="B155" s="17"/>
      <c r="F155" s="154"/>
      <c r="G155" s="155" t="s">
        <v>41</v>
      </c>
      <c r="H155" s="156">
        <f>DASHBOARD!$D$57</f>
        <v>3.95</v>
      </c>
      <c r="I155" s="157">
        <v>1</v>
      </c>
      <c r="J155" s="155">
        <f>I152*J152/2</f>
        <v>4.7619047619047619</v>
      </c>
      <c r="K155" s="155"/>
      <c r="L155" s="158">
        <f>F152*H155*I155*J155</f>
        <v>0</v>
      </c>
      <c r="M155" s="1" t="s">
        <v>385</v>
      </c>
      <c r="N155" s="88"/>
    </row>
    <row r="156" spans="2:14">
      <c r="B156" s="17"/>
      <c r="F156" s="154"/>
      <c r="G156" s="155" t="s">
        <v>384</v>
      </c>
      <c r="H156" s="156">
        <f>DASHBOARD!$D$58</f>
        <v>13.95</v>
      </c>
      <c r="I156" s="157">
        <v>1</v>
      </c>
      <c r="J156" s="155">
        <f>I152*J152/2</f>
        <v>4.7619047619047619</v>
      </c>
      <c r="K156" s="155"/>
      <c r="L156" s="158">
        <f>F152*H156*I156*J156</f>
        <v>0</v>
      </c>
      <c r="M156" s="1" t="s">
        <v>385</v>
      </c>
      <c r="N156" s="88"/>
    </row>
    <row r="157" spans="2:14">
      <c r="B157" s="17"/>
      <c r="F157" s="154"/>
      <c r="G157" s="155" t="s">
        <v>389</v>
      </c>
      <c r="H157" s="156">
        <f>DASHBOARD!$D$71</f>
        <v>2.2799999999999998</v>
      </c>
      <c r="I157" s="157">
        <v>1</v>
      </c>
      <c r="J157" s="155">
        <v>100</v>
      </c>
      <c r="K157" s="155"/>
      <c r="L157" s="158">
        <f>F152*H157*I157*J157</f>
        <v>0</v>
      </c>
      <c r="M157" s="1" t="s">
        <v>390</v>
      </c>
      <c r="N157" s="88" t="s">
        <v>391</v>
      </c>
    </row>
    <row r="158" spans="2:14">
      <c r="B158" s="17"/>
      <c r="F158" s="154"/>
      <c r="G158" s="155" t="s">
        <v>392</v>
      </c>
      <c r="H158" s="156">
        <f>DASHBOARD!$D$72</f>
        <v>0.39</v>
      </c>
      <c r="I158" s="157">
        <v>1</v>
      </c>
      <c r="J158" s="155">
        <v>100</v>
      </c>
      <c r="K158" s="155"/>
      <c r="L158" s="158">
        <f>F152*H158*I158*J158</f>
        <v>0</v>
      </c>
      <c r="M158" s="1" t="s">
        <v>393</v>
      </c>
      <c r="N158" s="88" t="s">
        <v>394</v>
      </c>
    </row>
    <row r="159" spans="2:14" ht="47.25">
      <c r="B159" s="17"/>
      <c r="D159" s="115">
        <f>(1-(C5/C4))*0.7*DASHBOARD!$D$139</f>
        <v>1.7832150000000044E-4</v>
      </c>
      <c r="E159" s="21" t="s">
        <v>258</v>
      </c>
      <c r="F159" s="2">
        <f>DASHBOARD!D123</f>
        <v>0</v>
      </c>
      <c r="G159" s="41" t="s">
        <v>14</v>
      </c>
      <c r="H159" s="7">
        <f>DASHBOARD!$D$35</f>
        <v>24.612000000000002</v>
      </c>
      <c r="I159" s="34">
        <v>8</v>
      </c>
      <c r="J159" s="5">
        <f>J160+2/2</f>
        <v>1.6</v>
      </c>
      <c r="K159" s="11">
        <f>D159*F159*I159*J159</f>
        <v>0</v>
      </c>
      <c r="L159" s="6">
        <f>H159*I159*J159</f>
        <v>315.03360000000004</v>
      </c>
      <c r="M159" s="1" t="s">
        <v>322</v>
      </c>
      <c r="N159" s="83" t="s">
        <v>111</v>
      </c>
    </row>
    <row r="160" spans="2:14">
      <c r="B160" s="17"/>
      <c r="G160" s="41" t="s">
        <v>17</v>
      </c>
      <c r="H160" s="7">
        <f>DASHBOARD!$D$36</f>
        <v>45.12</v>
      </c>
      <c r="I160" s="34">
        <v>8</v>
      </c>
      <c r="J160" s="5">
        <v>0.6</v>
      </c>
      <c r="K160" s="11">
        <f>D159*F159*I160*J160</f>
        <v>0</v>
      </c>
      <c r="L160" s="6">
        <f>H160*I160*J160</f>
        <v>216.57599999999999</v>
      </c>
      <c r="M160" s="1" t="s">
        <v>321</v>
      </c>
      <c r="N160" s="87" t="s">
        <v>112</v>
      </c>
    </row>
    <row r="161" spans="2:14">
      <c r="B161" s="17"/>
      <c r="G161" s="41" t="s">
        <v>6</v>
      </c>
      <c r="H161" s="3">
        <f>DASHBOARD!$D$40</f>
        <v>24.276</v>
      </c>
      <c r="I161" s="34">
        <v>8</v>
      </c>
      <c r="J161" s="5">
        <v>0.6</v>
      </c>
      <c r="K161" s="11">
        <f>D159*F159*I161*J161</f>
        <v>0</v>
      </c>
      <c r="L161" s="6">
        <f t="shared" ref="L161:L172" si="4">H161*I161*J161</f>
        <v>116.5248</v>
      </c>
      <c r="N161" s="87" t="s">
        <v>114</v>
      </c>
    </row>
    <row r="162" spans="2:14">
      <c r="B162" s="17"/>
      <c r="G162" s="41" t="s">
        <v>12</v>
      </c>
      <c r="H162" s="7">
        <f>DASHBOARD!$D$37</f>
        <v>19.8</v>
      </c>
      <c r="I162" s="34">
        <v>8</v>
      </c>
      <c r="J162" s="5">
        <v>0.8</v>
      </c>
      <c r="K162" s="71">
        <f>D159*F159*I162*J162</f>
        <v>0</v>
      </c>
      <c r="L162" s="6">
        <f t="shared" si="4"/>
        <v>126.72000000000001</v>
      </c>
      <c r="M162" s="1" t="s">
        <v>320</v>
      </c>
      <c r="N162" s="87"/>
    </row>
    <row r="163" spans="2:14">
      <c r="B163" s="17"/>
      <c r="G163" s="41" t="s">
        <v>449</v>
      </c>
      <c r="H163" s="7">
        <f>DASHBOARD!$D$46</f>
        <v>54.804000000000002</v>
      </c>
      <c r="I163" s="34">
        <v>8</v>
      </c>
      <c r="J163" s="5">
        <v>0.2</v>
      </c>
      <c r="K163" s="249">
        <f>D159*F159*I163*J163</f>
        <v>0</v>
      </c>
      <c r="L163" s="6">
        <f t="shared" si="4"/>
        <v>87.686400000000006</v>
      </c>
      <c r="M163" s="1" t="s">
        <v>324</v>
      </c>
      <c r="N163" s="87"/>
    </row>
    <row r="164" spans="2:14">
      <c r="B164" s="17"/>
      <c r="G164" s="41" t="s">
        <v>323</v>
      </c>
      <c r="H164" s="7">
        <f>DASHBOARD!$D$47</f>
        <v>60</v>
      </c>
      <c r="I164" s="34">
        <v>8</v>
      </c>
      <c r="J164" s="5">
        <v>0.2</v>
      </c>
      <c r="K164" s="71">
        <f>D159*F159*I164*J164</f>
        <v>0</v>
      </c>
      <c r="L164" s="6">
        <f t="shared" si="4"/>
        <v>96</v>
      </c>
      <c r="M164" s="1" t="s">
        <v>324</v>
      </c>
      <c r="N164" s="87"/>
    </row>
    <row r="165" spans="2:14">
      <c r="B165" s="17"/>
      <c r="G165" s="41" t="s">
        <v>325</v>
      </c>
      <c r="H165" s="7">
        <f>DASHBOARD!$D$43</f>
        <v>21.599999999999998</v>
      </c>
      <c r="I165" s="34">
        <v>8</v>
      </c>
      <c r="J165" s="5">
        <v>0.8</v>
      </c>
      <c r="K165" s="71">
        <f>D159*F159*I165*J165</f>
        <v>0</v>
      </c>
      <c r="L165" s="6">
        <f t="shared" si="4"/>
        <v>138.23999999999998</v>
      </c>
      <c r="M165" s="1" t="s">
        <v>326</v>
      </c>
      <c r="N165" s="87"/>
    </row>
    <row r="166" spans="2:14">
      <c r="B166" s="17"/>
      <c r="G166" s="5" t="s">
        <v>8</v>
      </c>
      <c r="H166" s="7">
        <f>DASHBOARD!$D$56</f>
        <v>0.16259999999999999</v>
      </c>
      <c r="I166" s="34">
        <v>1</v>
      </c>
      <c r="J166" s="5">
        <f>4*J159</f>
        <v>6.4</v>
      </c>
      <c r="K166" s="5"/>
      <c r="L166" s="6">
        <f t="shared" si="4"/>
        <v>1.04064</v>
      </c>
      <c r="M166" s="1" t="s">
        <v>121</v>
      </c>
      <c r="N166" s="87" t="s">
        <v>116</v>
      </c>
    </row>
    <row r="167" spans="2:14">
      <c r="B167" s="17"/>
      <c r="G167" s="5" t="s">
        <v>41</v>
      </c>
      <c r="H167" s="7">
        <f>DASHBOARD!$D$57</f>
        <v>3.95</v>
      </c>
      <c r="I167" s="34">
        <v>1</v>
      </c>
      <c r="J167" s="5">
        <f>(4*J160)+(4*J161)+(4*0.6)</f>
        <v>7.1999999999999993</v>
      </c>
      <c r="K167" s="5"/>
      <c r="L167" s="6">
        <f t="shared" si="4"/>
        <v>28.439999999999998</v>
      </c>
      <c r="M167" s="1" t="s">
        <v>122</v>
      </c>
      <c r="N167" s="87" t="s">
        <v>117</v>
      </c>
    </row>
    <row r="168" spans="2:14">
      <c r="B168" s="17"/>
      <c r="G168" s="5" t="s">
        <v>9</v>
      </c>
      <c r="H168" s="7">
        <f>DASHBOARD!$D$58</f>
        <v>13.95</v>
      </c>
      <c r="I168" s="34">
        <v>1</v>
      </c>
      <c r="J168" s="5">
        <f>(4*J160)+(4*J161)+(4*0.6)</f>
        <v>7.1999999999999993</v>
      </c>
      <c r="K168" s="5"/>
      <c r="L168" s="6">
        <f t="shared" si="4"/>
        <v>100.43999999999998</v>
      </c>
      <c r="M168" s="1" t="s">
        <v>122</v>
      </c>
      <c r="N168" s="87" t="s">
        <v>118</v>
      </c>
    </row>
    <row r="169" spans="2:14">
      <c r="B169" s="17"/>
      <c r="G169" s="5" t="s">
        <v>16</v>
      </c>
      <c r="H169" s="7">
        <f>DASHBOARD!$D$59</f>
        <v>0.23960000000000001</v>
      </c>
      <c r="I169" s="34">
        <v>1</v>
      </c>
      <c r="J169" s="5">
        <f>(4*(J159-0.6))+100+100+100</f>
        <v>304</v>
      </c>
      <c r="K169" s="5"/>
      <c r="L169" s="6">
        <f t="shared" si="4"/>
        <v>72.838400000000007</v>
      </c>
      <c r="M169" s="1" t="s">
        <v>123</v>
      </c>
      <c r="N169" s="87" t="s">
        <v>119</v>
      </c>
    </row>
    <row r="170" spans="2:14">
      <c r="B170" s="17"/>
      <c r="G170" s="5" t="s">
        <v>10</v>
      </c>
      <c r="H170" s="7">
        <f>DASHBOARD!$D$60</f>
        <v>1.7004999999999999</v>
      </c>
      <c r="I170" s="34">
        <v>1</v>
      </c>
      <c r="J170" s="5">
        <f>100+100+100</f>
        <v>300</v>
      </c>
      <c r="K170" s="5"/>
      <c r="L170" s="6">
        <f t="shared" si="4"/>
        <v>510.15</v>
      </c>
      <c r="M170" s="1" t="s">
        <v>124</v>
      </c>
      <c r="N170" s="87" t="s">
        <v>119</v>
      </c>
    </row>
    <row r="171" spans="2:14">
      <c r="B171" s="17"/>
      <c r="G171" s="5" t="s">
        <v>144</v>
      </c>
      <c r="H171" s="7">
        <f>DASHBOARD!$D$61</f>
        <v>3.32</v>
      </c>
      <c r="I171" s="34">
        <v>1</v>
      </c>
      <c r="J171" s="5">
        <v>100</v>
      </c>
      <c r="K171" s="5"/>
      <c r="L171" s="6">
        <f t="shared" si="4"/>
        <v>332</v>
      </c>
      <c r="M171" s="1" t="s">
        <v>145</v>
      </c>
      <c r="N171" s="89" t="s">
        <v>147</v>
      </c>
    </row>
    <row r="172" spans="2:14">
      <c r="B172" s="17"/>
      <c r="G172" s="5" t="s">
        <v>11</v>
      </c>
      <c r="H172" s="7">
        <f>DASHBOARD!$D$62</f>
        <v>0.72</v>
      </c>
      <c r="I172" s="34">
        <v>1</v>
      </c>
      <c r="J172" s="5">
        <f>100</f>
        <v>100</v>
      </c>
      <c r="K172" s="5"/>
      <c r="L172" s="6">
        <f t="shared" si="4"/>
        <v>72</v>
      </c>
      <c r="M172" s="1" t="s">
        <v>146</v>
      </c>
      <c r="N172" s="89" t="s">
        <v>148</v>
      </c>
    </row>
    <row r="173" spans="2:14">
      <c r="B173" s="17"/>
      <c r="F173" s="119">
        <f>DASHBOARD!$D$110</f>
        <v>0</v>
      </c>
      <c r="G173" s="120" t="s">
        <v>17</v>
      </c>
      <c r="H173" s="121">
        <f>DASHBOARD!$D$36</f>
        <v>45.12</v>
      </c>
      <c r="I173" s="122">
        <v>8</v>
      </c>
      <c r="J173" s="120">
        <f>0.625*F173*(8/7)</f>
        <v>0</v>
      </c>
      <c r="K173" s="120"/>
      <c r="L173" s="123">
        <f>F173*H173*I173*J173</f>
        <v>0</v>
      </c>
      <c r="M173" s="1" t="s">
        <v>287</v>
      </c>
      <c r="N173" s="89"/>
    </row>
    <row r="174" spans="2:14">
      <c r="B174" s="17"/>
      <c r="F174" s="124" t="s">
        <v>281</v>
      </c>
      <c r="G174" s="120" t="s">
        <v>6</v>
      </c>
      <c r="H174" s="121">
        <f>DASHBOARD!$D$40</f>
        <v>24.276</v>
      </c>
      <c r="I174" s="122">
        <v>8</v>
      </c>
      <c r="J174" s="120">
        <f>0.625*(8/7)</f>
        <v>0.71428571428571419</v>
      </c>
      <c r="K174" s="120"/>
      <c r="L174" s="123">
        <f>F173*H174*I174*J174</f>
        <v>0</v>
      </c>
      <c r="M174" s="1" t="s">
        <v>287</v>
      </c>
      <c r="N174" s="89"/>
    </row>
    <row r="175" spans="2:14">
      <c r="B175" s="17"/>
      <c r="F175" s="124"/>
      <c r="G175" s="120" t="s">
        <v>291</v>
      </c>
      <c r="H175" s="121">
        <f>DASHBOARD!$D$59</f>
        <v>0.23960000000000001</v>
      </c>
      <c r="I175" s="122">
        <v>1</v>
      </c>
      <c r="J175" s="120">
        <v>0</v>
      </c>
      <c r="K175" s="120"/>
      <c r="L175" s="123">
        <f>F173*H175*I175*J175</f>
        <v>0</v>
      </c>
      <c r="N175" s="89"/>
    </row>
    <row r="176" spans="2:14">
      <c r="B176" s="17"/>
      <c r="F176" s="119"/>
      <c r="G176" s="120" t="s">
        <v>284</v>
      </c>
      <c r="H176" s="121">
        <v>10</v>
      </c>
      <c r="I176" s="122">
        <v>1</v>
      </c>
      <c r="J176" s="120">
        <v>100</v>
      </c>
      <c r="K176" s="120"/>
      <c r="L176" s="123">
        <f>F173*H176*I176*J176</f>
        <v>0</v>
      </c>
      <c r="M176" s="1" t="s">
        <v>290</v>
      </c>
      <c r="N176" s="89"/>
    </row>
    <row r="177" spans="2:14">
      <c r="B177" s="17"/>
      <c r="F177" s="119"/>
      <c r="G177" s="120" t="s">
        <v>283</v>
      </c>
      <c r="H177" s="121">
        <v>0.84</v>
      </c>
      <c r="I177" s="122">
        <v>1</v>
      </c>
      <c r="J177" s="120">
        <v>100</v>
      </c>
      <c r="K177" s="120"/>
      <c r="L177" s="123">
        <f>F173*H177*I177*J177</f>
        <v>0</v>
      </c>
      <c r="M177" s="1" t="s">
        <v>288</v>
      </c>
      <c r="N177" s="88" t="s">
        <v>289</v>
      </c>
    </row>
    <row r="178" spans="2:14">
      <c r="B178" s="17"/>
      <c r="F178" s="154">
        <f>DASHBOARD!$D$112</f>
        <v>0</v>
      </c>
      <c r="G178" s="155" t="s">
        <v>386</v>
      </c>
      <c r="H178" s="156">
        <f>DASHBOARD!$D$42</f>
        <v>30</v>
      </c>
      <c r="I178" s="157">
        <v>8</v>
      </c>
      <c r="J178" s="155">
        <f>((DASHBOARD!$D$113*100)/480)*(8/7)</f>
        <v>1.1904761904761905</v>
      </c>
      <c r="K178" s="155">
        <f>D161*F161*F178*I178*J178</f>
        <v>0</v>
      </c>
      <c r="L178" s="158">
        <f>F178*H178*I178*J178</f>
        <v>0</v>
      </c>
      <c r="M178" s="1" t="s">
        <v>460</v>
      </c>
      <c r="N178" s="88" t="s">
        <v>387</v>
      </c>
    </row>
    <row r="179" spans="2:14">
      <c r="B179" s="17"/>
      <c r="F179" s="159" t="s">
        <v>281</v>
      </c>
      <c r="G179" s="155" t="s">
        <v>382</v>
      </c>
      <c r="H179" s="156">
        <f>DASHBOARD!$D$59</f>
        <v>0.23960000000000001</v>
      </c>
      <c r="I179" s="157">
        <v>1</v>
      </c>
      <c r="J179" s="155">
        <v>100</v>
      </c>
      <c r="K179" s="155"/>
      <c r="L179" s="158">
        <f>F178*H179*I179*J179</f>
        <v>0</v>
      </c>
      <c r="M179" s="1" t="s">
        <v>388</v>
      </c>
      <c r="N179" s="88"/>
    </row>
    <row r="180" spans="2:14">
      <c r="B180" s="17"/>
      <c r="F180" s="159" t="s">
        <v>380</v>
      </c>
      <c r="G180" s="155" t="s">
        <v>383</v>
      </c>
      <c r="H180" s="156">
        <f>DASHBOARD!$D$60</f>
        <v>1.7004999999999999</v>
      </c>
      <c r="I180" s="157">
        <v>1</v>
      </c>
      <c r="J180" s="155">
        <v>100</v>
      </c>
      <c r="K180" s="155"/>
      <c r="L180" s="158">
        <f>F178*H180*I180*J180</f>
        <v>0</v>
      </c>
      <c r="M180" s="1" t="s">
        <v>388</v>
      </c>
      <c r="N180" s="88"/>
    </row>
    <row r="181" spans="2:14">
      <c r="B181" s="17"/>
      <c r="F181" s="154"/>
      <c r="G181" s="155" t="s">
        <v>41</v>
      </c>
      <c r="H181" s="156">
        <f>DASHBOARD!$D$57</f>
        <v>3.95</v>
      </c>
      <c r="I181" s="157">
        <v>1</v>
      </c>
      <c r="J181" s="155">
        <f>I178*J178/2</f>
        <v>4.7619047619047619</v>
      </c>
      <c r="K181" s="155"/>
      <c r="L181" s="158">
        <f>F178*H181*I181*J181</f>
        <v>0</v>
      </c>
      <c r="M181" s="1" t="s">
        <v>385</v>
      </c>
      <c r="N181" s="88"/>
    </row>
    <row r="182" spans="2:14">
      <c r="B182" s="17"/>
      <c r="F182" s="154"/>
      <c r="G182" s="155" t="s">
        <v>384</v>
      </c>
      <c r="H182" s="156">
        <f>DASHBOARD!$D$58</f>
        <v>13.95</v>
      </c>
      <c r="I182" s="157">
        <v>1</v>
      </c>
      <c r="J182" s="155">
        <f>I178*J178/2</f>
        <v>4.7619047619047619</v>
      </c>
      <c r="K182" s="155"/>
      <c r="L182" s="158">
        <f>F178*H182*I182*J182</f>
        <v>0</v>
      </c>
      <c r="M182" s="1" t="s">
        <v>385</v>
      </c>
      <c r="N182" s="88"/>
    </row>
    <row r="183" spans="2:14">
      <c r="B183" s="17"/>
      <c r="F183" s="154"/>
      <c r="G183" s="155" t="s">
        <v>389</v>
      </c>
      <c r="H183" s="156">
        <f>DASHBOARD!$D$71</f>
        <v>2.2799999999999998</v>
      </c>
      <c r="I183" s="157">
        <v>1</v>
      </c>
      <c r="J183" s="155">
        <v>100</v>
      </c>
      <c r="K183" s="155"/>
      <c r="L183" s="158">
        <f>F178*H183*I183*J183</f>
        <v>0</v>
      </c>
      <c r="M183" s="1" t="s">
        <v>390</v>
      </c>
      <c r="N183" s="88" t="s">
        <v>391</v>
      </c>
    </row>
    <row r="184" spans="2:14">
      <c r="B184" s="17"/>
      <c r="F184" s="154"/>
      <c r="G184" s="155" t="s">
        <v>392</v>
      </c>
      <c r="H184" s="156">
        <f>DASHBOARD!$D$72</f>
        <v>0.39</v>
      </c>
      <c r="I184" s="157">
        <v>1</v>
      </c>
      <c r="J184" s="155">
        <v>100</v>
      </c>
      <c r="K184" s="155"/>
      <c r="L184" s="158">
        <f>F178*H184*I184*J184</f>
        <v>0</v>
      </c>
      <c r="M184" s="1" t="s">
        <v>393</v>
      </c>
      <c r="N184" s="88" t="s">
        <v>394</v>
      </c>
    </row>
    <row r="185" spans="2:14" ht="47.25">
      <c r="B185" s="17"/>
      <c r="F185" s="2">
        <f>1-F159</f>
        <v>1</v>
      </c>
      <c r="G185" s="41" t="s">
        <v>14</v>
      </c>
      <c r="H185" s="7">
        <f>DASHBOARD!$D$35</f>
        <v>24.612000000000002</v>
      </c>
      <c r="I185" s="34">
        <v>8</v>
      </c>
      <c r="J185" s="5">
        <f>J186+2</f>
        <v>2.6</v>
      </c>
      <c r="K185" s="11">
        <f>D159*F185*I185*J185</f>
        <v>3.7090872000000094E-3</v>
      </c>
      <c r="L185" s="6">
        <f>H185*I185*J185</f>
        <v>511.92960000000005</v>
      </c>
      <c r="M185" s="1" t="s">
        <v>322</v>
      </c>
      <c r="N185" s="83" t="s">
        <v>111</v>
      </c>
    </row>
    <row r="186" spans="2:14">
      <c r="B186" s="17"/>
      <c r="G186" s="41" t="s">
        <v>17</v>
      </c>
      <c r="H186" s="7">
        <f>DASHBOARD!$D$36</f>
        <v>45.12</v>
      </c>
      <c r="I186" s="34">
        <v>8</v>
      </c>
      <c r="J186" s="5">
        <v>0.6</v>
      </c>
      <c r="K186" s="11">
        <f>D159*F185*I186*J186</f>
        <v>8.5594320000000209E-4</v>
      </c>
      <c r="L186" s="6">
        <f>H186*I186*J186</f>
        <v>216.57599999999999</v>
      </c>
      <c r="M186" s="1" t="s">
        <v>321</v>
      </c>
      <c r="N186" s="87" t="s">
        <v>112</v>
      </c>
    </row>
    <row r="187" spans="2:14">
      <c r="B187" s="17"/>
      <c r="G187" s="41" t="s">
        <v>6</v>
      </c>
      <c r="H187" s="3">
        <f>DASHBOARD!$D$40</f>
        <v>24.276</v>
      </c>
      <c r="I187" s="34">
        <v>8</v>
      </c>
      <c r="J187" s="5">
        <v>0.6</v>
      </c>
      <c r="K187" s="11">
        <f>D159*F185*I187*J187</f>
        <v>8.5594320000000209E-4</v>
      </c>
      <c r="L187" s="6">
        <f t="shared" ref="L187:L198" si="5">H187*I187*J187</f>
        <v>116.5248</v>
      </c>
      <c r="N187" s="87" t="s">
        <v>114</v>
      </c>
    </row>
    <row r="188" spans="2:14">
      <c r="B188" s="17"/>
      <c r="G188" s="41" t="s">
        <v>12</v>
      </c>
      <c r="H188" s="7">
        <f>DASHBOARD!$D$37</f>
        <v>19.8</v>
      </c>
      <c r="I188" s="34">
        <v>8</v>
      </c>
      <c r="J188" s="5">
        <v>0.8</v>
      </c>
      <c r="K188" s="71">
        <f>D159*F185*I188*J188</f>
        <v>1.1412576000000029E-3</v>
      </c>
      <c r="L188" s="6">
        <f t="shared" si="5"/>
        <v>126.72000000000001</v>
      </c>
      <c r="M188" s="1" t="s">
        <v>320</v>
      </c>
      <c r="N188" s="87"/>
    </row>
    <row r="189" spans="2:14">
      <c r="B189" s="17"/>
      <c r="G189" s="41" t="s">
        <v>449</v>
      </c>
      <c r="H189" s="7">
        <f>DASHBOARD!$D$46</f>
        <v>54.804000000000002</v>
      </c>
      <c r="I189" s="34">
        <v>8</v>
      </c>
      <c r="J189" s="5">
        <v>0.2</v>
      </c>
      <c r="K189" s="249">
        <f>D159*F185*I189*J189</f>
        <v>2.8531440000000073E-4</v>
      </c>
      <c r="L189" s="6">
        <f t="shared" si="5"/>
        <v>87.686400000000006</v>
      </c>
      <c r="M189" s="1" t="s">
        <v>324</v>
      </c>
      <c r="N189" s="87"/>
    </row>
    <row r="190" spans="2:14">
      <c r="B190" s="17"/>
      <c r="G190" s="41" t="s">
        <v>323</v>
      </c>
      <c r="H190" s="7">
        <f>DASHBOARD!$D$47</f>
        <v>60</v>
      </c>
      <c r="I190" s="34">
        <v>8</v>
      </c>
      <c r="J190" s="5">
        <v>0.2</v>
      </c>
      <c r="K190" s="71">
        <f>D159*F185*I190*J190</f>
        <v>2.8531440000000073E-4</v>
      </c>
      <c r="L190" s="6">
        <f t="shared" si="5"/>
        <v>96</v>
      </c>
      <c r="M190" s="1" t="s">
        <v>324</v>
      </c>
      <c r="N190" s="87"/>
    </row>
    <row r="191" spans="2:14">
      <c r="B191" s="17"/>
      <c r="G191" s="41" t="s">
        <v>325</v>
      </c>
      <c r="H191" s="7">
        <f>DASHBOARD!$D$43</f>
        <v>21.599999999999998</v>
      </c>
      <c r="I191" s="34">
        <v>8</v>
      </c>
      <c r="J191" s="5">
        <v>0.8</v>
      </c>
      <c r="K191" s="71">
        <f>D159*F185*I191*J191</f>
        <v>1.1412576000000029E-3</v>
      </c>
      <c r="L191" s="6">
        <f t="shared" si="5"/>
        <v>138.23999999999998</v>
      </c>
      <c r="M191" s="1" t="s">
        <v>326</v>
      </c>
      <c r="N191" s="87"/>
    </row>
    <row r="192" spans="2:14">
      <c r="B192" s="17"/>
      <c r="G192" s="5" t="s">
        <v>8</v>
      </c>
      <c r="H192" s="7">
        <f>DASHBOARD!$D$56</f>
        <v>0.16259999999999999</v>
      </c>
      <c r="I192" s="34">
        <v>1</v>
      </c>
      <c r="J192" s="5">
        <f>4*J185</f>
        <v>10.4</v>
      </c>
      <c r="K192" s="5"/>
      <c r="L192" s="6">
        <f t="shared" si="5"/>
        <v>1.6910400000000001</v>
      </c>
      <c r="M192" s="1" t="s">
        <v>121</v>
      </c>
      <c r="N192" s="87" t="s">
        <v>116</v>
      </c>
    </row>
    <row r="193" spans="2:14">
      <c r="B193" s="17"/>
      <c r="G193" s="5" t="s">
        <v>41</v>
      </c>
      <c r="H193" s="7">
        <f>DASHBOARD!$D$57</f>
        <v>3.95</v>
      </c>
      <c r="I193" s="34">
        <v>1</v>
      </c>
      <c r="J193" s="5">
        <f>(4*J186)+(4*J187)+(4*0.6)</f>
        <v>7.1999999999999993</v>
      </c>
      <c r="K193" s="5"/>
      <c r="L193" s="6">
        <f t="shared" si="5"/>
        <v>28.439999999999998</v>
      </c>
      <c r="M193" s="1" t="s">
        <v>122</v>
      </c>
      <c r="N193" s="87" t="s">
        <v>117</v>
      </c>
    </row>
    <row r="194" spans="2:14">
      <c r="B194" s="17"/>
      <c r="G194" s="5" t="s">
        <v>9</v>
      </c>
      <c r="H194" s="7">
        <f>DASHBOARD!$D$58</f>
        <v>13.95</v>
      </c>
      <c r="I194" s="34">
        <v>1</v>
      </c>
      <c r="J194" s="5">
        <f>(4*J186)+(4*J187)+(4*0.6)</f>
        <v>7.1999999999999993</v>
      </c>
      <c r="K194" s="5"/>
      <c r="L194" s="6">
        <f t="shared" si="5"/>
        <v>100.43999999999998</v>
      </c>
      <c r="M194" s="1" t="s">
        <v>122</v>
      </c>
      <c r="N194" s="87" t="s">
        <v>118</v>
      </c>
    </row>
    <row r="195" spans="2:14">
      <c r="B195" s="17"/>
      <c r="G195" s="5" t="s">
        <v>16</v>
      </c>
      <c r="H195" s="7">
        <f>DASHBOARD!$D$59</f>
        <v>0.23960000000000001</v>
      </c>
      <c r="I195" s="34">
        <v>1</v>
      </c>
      <c r="J195" s="5">
        <f>(4*(J185-0.6))+100+100+100</f>
        <v>308</v>
      </c>
      <c r="K195" s="5"/>
      <c r="L195" s="6">
        <f t="shared" si="5"/>
        <v>73.796800000000005</v>
      </c>
      <c r="M195" s="1" t="s">
        <v>123</v>
      </c>
      <c r="N195" s="87" t="s">
        <v>119</v>
      </c>
    </row>
    <row r="196" spans="2:14">
      <c r="B196" s="17"/>
      <c r="G196" s="5" t="s">
        <v>10</v>
      </c>
      <c r="H196" s="7">
        <f>DASHBOARD!$D$60</f>
        <v>1.7004999999999999</v>
      </c>
      <c r="I196" s="34">
        <v>1</v>
      </c>
      <c r="J196" s="5">
        <f>100+100+100</f>
        <v>300</v>
      </c>
      <c r="K196" s="5"/>
      <c r="L196" s="6">
        <f t="shared" si="5"/>
        <v>510.15</v>
      </c>
      <c r="M196" s="1" t="s">
        <v>124</v>
      </c>
      <c r="N196" s="87" t="s">
        <v>119</v>
      </c>
    </row>
    <row r="197" spans="2:14">
      <c r="B197" s="17"/>
      <c r="G197" s="5" t="s">
        <v>144</v>
      </c>
      <c r="H197" s="7">
        <f>DASHBOARD!$D$61</f>
        <v>3.32</v>
      </c>
      <c r="I197" s="34">
        <v>1</v>
      </c>
      <c r="J197" s="5">
        <v>100</v>
      </c>
      <c r="K197" s="5"/>
      <c r="L197" s="6">
        <f t="shared" si="5"/>
        <v>332</v>
      </c>
      <c r="M197" s="1" t="s">
        <v>145</v>
      </c>
      <c r="N197" s="89" t="s">
        <v>147</v>
      </c>
    </row>
    <row r="198" spans="2:14">
      <c r="B198" s="17"/>
      <c r="G198" s="5" t="s">
        <v>11</v>
      </c>
      <c r="H198" s="7">
        <f>DASHBOARD!$D$62</f>
        <v>0.72</v>
      </c>
      <c r="I198" s="34">
        <v>1</v>
      </c>
      <c r="J198" s="5">
        <f>100</f>
        <v>100</v>
      </c>
      <c r="K198" s="5"/>
      <c r="L198" s="6">
        <f t="shared" si="5"/>
        <v>72</v>
      </c>
      <c r="M198" s="1" t="s">
        <v>146</v>
      </c>
      <c r="N198" s="89" t="s">
        <v>148</v>
      </c>
    </row>
    <row r="199" spans="2:14">
      <c r="B199" s="17"/>
      <c r="F199" s="119">
        <f>DASHBOARD!$D$110</f>
        <v>0</v>
      </c>
      <c r="G199" s="120" t="s">
        <v>17</v>
      </c>
      <c r="H199" s="121">
        <f>DASHBOARD!$D$36</f>
        <v>45.12</v>
      </c>
      <c r="I199" s="122">
        <v>8</v>
      </c>
      <c r="J199" s="120">
        <f>0.625*F199*(8/7)</f>
        <v>0</v>
      </c>
      <c r="K199" s="120"/>
      <c r="L199" s="123">
        <f>F199*H199*I199*J199</f>
        <v>0</v>
      </c>
      <c r="M199" s="1" t="s">
        <v>287</v>
      </c>
      <c r="N199" s="89"/>
    </row>
    <row r="200" spans="2:14">
      <c r="B200" s="17"/>
      <c r="F200" s="124" t="s">
        <v>281</v>
      </c>
      <c r="G200" s="120" t="s">
        <v>6</v>
      </c>
      <c r="H200" s="121">
        <f>DASHBOARD!$D$40</f>
        <v>24.276</v>
      </c>
      <c r="I200" s="122">
        <v>8</v>
      </c>
      <c r="J200" s="120">
        <f>0.625*(8/7)</f>
        <v>0.71428571428571419</v>
      </c>
      <c r="K200" s="120"/>
      <c r="L200" s="123">
        <f>F199*H200*I200*J200</f>
        <v>0</v>
      </c>
      <c r="M200" s="1" t="s">
        <v>287</v>
      </c>
      <c r="N200" s="89"/>
    </row>
    <row r="201" spans="2:14">
      <c r="B201" s="17"/>
      <c r="F201" s="124"/>
      <c r="G201" s="120" t="s">
        <v>291</v>
      </c>
      <c r="H201" s="121">
        <f>DASHBOARD!$D$59</f>
        <v>0.23960000000000001</v>
      </c>
      <c r="I201" s="122">
        <v>1</v>
      </c>
      <c r="J201" s="120">
        <v>0</v>
      </c>
      <c r="K201" s="120"/>
      <c r="L201" s="123">
        <f>F199*H201*I201*J201</f>
        <v>0</v>
      </c>
      <c r="N201" s="89"/>
    </row>
    <row r="202" spans="2:14">
      <c r="B202" s="17"/>
      <c r="F202" s="119"/>
      <c r="G202" s="120" t="s">
        <v>284</v>
      </c>
      <c r="H202" s="121">
        <v>10</v>
      </c>
      <c r="I202" s="122">
        <v>1</v>
      </c>
      <c r="J202" s="120">
        <v>100</v>
      </c>
      <c r="K202" s="120"/>
      <c r="L202" s="123">
        <f>F199*H202*I202*J202</f>
        <v>0</v>
      </c>
      <c r="M202" s="1" t="s">
        <v>290</v>
      </c>
      <c r="N202" s="89"/>
    </row>
    <row r="203" spans="2:14">
      <c r="B203" s="17"/>
      <c r="F203" s="119"/>
      <c r="G203" s="120" t="s">
        <v>283</v>
      </c>
      <c r="H203" s="121">
        <v>0.84</v>
      </c>
      <c r="I203" s="122">
        <v>1</v>
      </c>
      <c r="J203" s="120">
        <v>100</v>
      </c>
      <c r="K203" s="120"/>
      <c r="L203" s="123">
        <f>F199*H203*I203*J203</f>
        <v>0</v>
      </c>
      <c r="M203" s="1" t="s">
        <v>288</v>
      </c>
      <c r="N203" s="88" t="s">
        <v>289</v>
      </c>
    </row>
    <row r="204" spans="2:14">
      <c r="B204" s="17"/>
      <c r="F204" s="154">
        <f>DASHBOARD!$D$112</f>
        <v>0</v>
      </c>
      <c r="G204" s="155" t="s">
        <v>386</v>
      </c>
      <c r="H204" s="156">
        <f>DASHBOARD!$D$42</f>
        <v>30</v>
      </c>
      <c r="I204" s="157">
        <v>8</v>
      </c>
      <c r="J204" s="155">
        <f>((DASHBOARD!$D$113*100)/480)*(8/7)</f>
        <v>1.1904761904761905</v>
      </c>
      <c r="K204" s="155">
        <f>D159*F187*F204*I204*J204</f>
        <v>0</v>
      </c>
      <c r="L204" s="158">
        <f>F204*H204*I204*J204</f>
        <v>0</v>
      </c>
      <c r="M204" s="1" t="s">
        <v>460</v>
      </c>
      <c r="N204" s="88" t="s">
        <v>387</v>
      </c>
    </row>
    <row r="205" spans="2:14">
      <c r="B205" s="17"/>
      <c r="F205" s="159" t="s">
        <v>281</v>
      </c>
      <c r="G205" s="155" t="s">
        <v>382</v>
      </c>
      <c r="H205" s="156">
        <f>DASHBOARD!$D$59</f>
        <v>0.23960000000000001</v>
      </c>
      <c r="I205" s="157">
        <v>1</v>
      </c>
      <c r="J205" s="155">
        <v>100</v>
      </c>
      <c r="K205" s="155"/>
      <c r="L205" s="158">
        <f>F204*H205*I205*J205</f>
        <v>0</v>
      </c>
      <c r="M205" s="1" t="s">
        <v>388</v>
      </c>
      <c r="N205" s="88"/>
    </row>
    <row r="206" spans="2:14">
      <c r="B206" s="17"/>
      <c r="F206" s="159" t="s">
        <v>380</v>
      </c>
      <c r="G206" s="155" t="s">
        <v>383</v>
      </c>
      <c r="H206" s="156">
        <f>DASHBOARD!$D$60</f>
        <v>1.7004999999999999</v>
      </c>
      <c r="I206" s="157">
        <v>1</v>
      </c>
      <c r="J206" s="155">
        <v>100</v>
      </c>
      <c r="K206" s="155"/>
      <c r="L206" s="158">
        <f>F204*H206*I206*J206</f>
        <v>0</v>
      </c>
      <c r="M206" s="1" t="s">
        <v>388</v>
      </c>
      <c r="N206" s="88"/>
    </row>
    <row r="207" spans="2:14">
      <c r="B207" s="17"/>
      <c r="F207" s="154"/>
      <c r="G207" s="155" t="s">
        <v>41</v>
      </c>
      <c r="H207" s="156">
        <f>DASHBOARD!$D$57</f>
        <v>3.95</v>
      </c>
      <c r="I207" s="157">
        <v>1</v>
      </c>
      <c r="J207" s="155">
        <f>I204*J204/2</f>
        <v>4.7619047619047619</v>
      </c>
      <c r="K207" s="155"/>
      <c r="L207" s="158">
        <f>F204*H207*I207*J207</f>
        <v>0</v>
      </c>
      <c r="M207" s="1" t="s">
        <v>385</v>
      </c>
      <c r="N207" s="88"/>
    </row>
    <row r="208" spans="2:14">
      <c r="B208" s="17"/>
      <c r="F208" s="154"/>
      <c r="G208" s="155" t="s">
        <v>384</v>
      </c>
      <c r="H208" s="156">
        <f>DASHBOARD!$D$58</f>
        <v>13.95</v>
      </c>
      <c r="I208" s="157">
        <v>1</v>
      </c>
      <c r="J208" s="155">
        <f>I204*J204/2</f>
        <v>4.7619047619047619</v>
      </c>
      <c r="K208" s="155"/>
      <c r="L208" s="158">
        <f>F204*H208*I208*J208</f>
        <v>0</v>
      </c>
      <c r="M208" s="1" t="s">
        <v>385</v>
      </c>
      <c r="N208" s="88"/>
    </row>
    <row r="209" spans="2:14">
      <c r="B209" s="17"/>
      <c r="F209" s="154"/>
      <c r="G209" s="155" t="s">
        <v>389</v>
      </c>
      <c r="H209" s="156">
        <f>DASHBOARD!$D$71</f>
        <v>2.2799999999999998</v>
      </c>
      <c r="I209" s="157">
        <v>1</v>
      </c>
      <c r="J209" s="155">
        <v>100</v>
      </c>
      <c r="K209" s="155"/>
      <c r="L209" s="158">
        <f>F204*H209*I209*J209</f>
        <v>0</v>
      </c>
      <c r="M209" s="1" t="s">
        <v>390</v>
      </c>
      <c r="N209" s="88" t="s">
        <v>391</v>
      </c>
    </row>
    <row r="210" spans="2:14">
      <c r="B210" s="17"/>
      <c r="F210" s="154"/>
      <c r="G210" s="155" t="s">
        <v>392</v>
      </c>
      <c r="H210" s="156">
        <f>DASHBOARD!$D$72</f>
        <v>0.39</v>
      </c>
      <c r="I210" s="157">
        <v>1</v>
      </c>
      <c r="J210" s="155">
        <v>100</v>
      </c>
      <c r="K210" s="155"/>
      <c r="L210" s="158">
        <f>F204*H210*I210*J210</f>
        <v>0</v>
      </c>
      <c r="M210" s="1" t="s">
        <v>393</v>
      </c>
      <c r="N210" s="88" t="s">
        <v>394</v>
      </c>
    </row>
    <row r="211" spans="2:14" ht="20.100000000000001" customHeight="1" thickBot="1">
      <c r="B211" s="9" t="s">
        <v>7</v>
      </c>
      <c r="C211" s="10"/>
      <c r="D211" s="14"/>
      <c r="E211" s="20"/>
      <c r="F211" s="14"/>
      <c r="G211" s="10"/>
      <c r="H211" s="549" t="s">
        <v>81</v>
      </c>
      <c r="I211" s="549"/>
      <c r="J211" s="549"/>
      <c r="K211" s="243"/>
      <c r="L211" s="70">
        <f>(D23*F23*SUM(L23:L44))+(D23*F45*SUM(L45:L66))+(D23*F67*SUM(L67:L87))+(D23*F88*SUM(L88:L108))+(D109*F109*SUM(L109:L133))+(D109*F134*SUM(L134:L158))+(D159*F159*SUM(L159:L184))+(D159*F185*SUM(L185:L210))</f>
        <v>1578.9483095358428</v>
      </c>
      <c r="M211" s="69" t="str">
        <f>"Per Person Cost is "&amp;ROUND(L211/100,2)&amp;" and the cost per "&amp;$C$4&amp;" people is "&amp;ROUND(L211/100*$C$4,2)</f>
        <v>Per Person Cost is 15.79 and the cost per 86446 people is 1364937.66</v>
      </c>
    </row>
    <row r="212" spans="2:14" ht="50.25" customHeight="1">
      <c r="B212" s="22" t="s">
        <v>18</v>
      </c>
      <c r="C212" s="26">
        <f>C4</f>
        <v>86446</v>
      </c>
      <c r="D212" s="2">
        <f>1*DASHBOARD!$D$139</f>
        <v>1</v>
      </c>
      <c r="E212" s="21">
        <v>1</v>
      </c>
      <c r="F212" s="92">
        <v>0</v>
      </c>
      <c r="G212" s="72" t="s">
        <v>192</v>
      </c>
      <c r="H212" s="7">
        <v>0</v>
      </c>
      <c r="I212" s="32">
        <v>0</v>
      </c>
      <c r="J212" s="1">
        <v>0</v>
      </c>
      <c r="L212" s="4">
        <f>H212*I212*J212</f>
        <v>0</v>
      </c>
      <c r="M212" s="1" t="s">
        <v>193</v>
      </c>
    </row>
    <row r="213" spans="2:14" ht="18" customHeight="1">
      <c r="B213" s="22" t="s">
        <v>189</v>
      </c>
      <c r="E213" s="21">
        <v>2</v>
      </c>
      <c r="F213" s="92">
        <f>1-F212-F220</f>
        <v>0.999745255</v>
      </c>
      <c r="G213" s="42" t="s">
        <v>21</v>
      </c>
      <c r="H213" s="3">
        <f>DASHBOARD!D41</f>
        <v>26.004000000000001</v>
      </c>
      <c r="I213" s="11">
        <f>F214*C11*((36+((ROUNDUP((C212*F213)/(C11*F214)/50,0))*DASHBOARD!$D$132))/60)*(8/7)</f>
        <v>85.409523809523805</v>
      </c>
      <c r="J213" s="11">
        <f>1/(C212*D212*F213/100)</f>
        <v>1.157086284977386E-3</v>
      </c>
      <c r="K213" s="11">
        <f>F213*I213*J213</f>
        <v>9.8801013129032944E-2</v>
      </c>
      <c r="L213" s="4">
        <f>H213*I213*J213</f>
        <v>2.5698762085221127</v>
      </c>
      <c r="M213" s="1" t="s">
        <v>156</v>
      </c>
      <c r="N213" s="87" t="s">
        <v>128</v>
      </c>
    </row>
    <row r="214" spans="2:14" ht="17.100000000000001" customHeight="1">
      <c r="B214" s="22" t="s">
        <v>190</v>
      </c>
      <c r="E214" s="21" t="s">
        <v>155</v>
      </c>
      <c r="F214" s="2">
        <v>1</v>
      </c>
      <c r="G214" s="1" t="s">
        <v>22</v>
      </c>
      <c r="H214" s="3">
        <f>DASHBOARD!D64</f>
        <v>7.242172727E-2</v>
      </c>
      <c r="I214" s="32">
        <v>1</v>
      </c>
      <c r="J214" s="11">
        <f>C11*32.8*F214*J213</f>
        <v>2.8843846911916273</v>
      </c>
      <c r="K214" s="11"/>
      <c r="L214" s="4">
        <f t="shared" ref="L214:L216" si="6">H214*I214*J214</f>
        <v>0.2088921214472432</v>
      </c>
      <c r="M214" s="1" t="s">
        <v>157</v>
      </c>
      <c r="N214" s="87" t="s">
        <v>129</v>
      </c>
    </row>
    <row r="215" spans="2:14" ht="17.100000000000001" customHeight="1">
      <c r="B215" s="22" t="s">
        <v>191</v>
      </c>
      <c r="G215" s="1" t="s">
        <v>158</v>
      </c>
      <c r="H215" s="3">
        <f>DASHBOARD!D65</f>
        <v>42.91</v>
      </c>
      <c r="I215" s="32">
        <f>I213/8</f>
        <v>10.676190476190476</v>
      </c>
      <c r="J215" s="11">
        <f>1/(F213*C212/100)</f>
        <v>1.157086284977386E-3</v>
      </c>
      <c r="K215" s="11"/>
      <c r="L215" s="4">
        <f>H215*I215*J215</f>
        <v>0.53007896913784347</v>
      </c>
      <c r="M215" s="1" t="s">
        <v>194</v>
      </c>
      <c r="N215" s="87"/>
    </row>
    <row r="216" spans="2:14">
      <c r="B216" s="22"/>
      <c r="G216" s="1" t="s">
        <v>23</v>
      </c>
      <c r="H216" s="3">
        <f>DASHBOARD!D66</f>
        <v>0.18703</v>
      </c>
      <c r="I216" s="26">
        <v>1</v>
      </c>
      <c r="J216" s="55">
        <v>100</v>
      </c>
      <c r="K216" s="55"/>
      <c r="L216" s="4">
        <f t="shared" si="6"/>
        <v>18.702999999999999</v>
      </c>
      <c r="N216" s="87" t="s">
        <v>132</v>
      </c>
    </row>
    <row r="217" spans="2:14">
      <c r="B217" s="22"/>
      <c r="G217" s="1" t="s">
        <v>24</v>
      </c>
      <c r="H217" s="3">
        <f>DASHBOARD!D67</f>
        <v>1.274775</v>
      </c>
      <c r="I217" s="12">
        <v>1</v>
      </c>
      <c r="J217" s="55">
        <v>2</v>
      </c>
      <c r="K217" s="55"/>
      <c r="L217" s="4">
        <f>H217*I217*J217</f>
        <v>2.54955</v>
      </c>
      <c r="M217" s="1" t="s">
        <v>47</v>
      </c>
      <c r="N217" s="88" t="s">
        <v>131</v>
      </c>
    </row>
    <row r="218" spans="2:14" ht="18" customHeight="1">
      <c r="B218" s="22"/>
      <c r="F218" s="134">
        <f>IF(OR(DASHBOARD!$D$111,DASHBOARD!$D$112=1),1,0)</f>
        <v>0</v>
      </c>
      <c r="G218" s="24" t="s">
        <v>418</v>
      </c>
      <c r="H218" s="165">
        <f>DASHBOARD!$D$66</f>
        <v>0.18703</v>
      </c>
      <c r="I218" s="166">
        <v>1</v>
      </c>
      <c r="J218" s="167">
        <v>100</v>
      </c>
      <c r="K218" s="167"/>
      <c r="L218" s="168">
        <f>F218*H218*I218*J218</f>
        <v>0</v>
      </c>
      <c r="N218" s="87" t="s">
        <v>132</v>
      </c>
    </row>
    <row r="219" spans="2:14" ht="18" customHeight="1">
      <c r="B219" s="22"/>
      <c r="F219" s="135" t="s">
        <v>281</v>
      </c>
      <c r="G219" s="24" t="s">
        <v>419</v>
      </c>
      <c r="H219" s="165">
        <f>DASHBOARD!$D$67</f>
        <v>1.274775</v>
      </c>
      <c r="I219" s="169">
        <v>1</v>
      </c>
      <c r="J219" s="167">
        <v>2</v>
      </c>
      <c r="K219" s="167"/>
      <c r="L219" s="168">
        <f>F218*H219*I219*J219</f>
        <v>0</v>
      </c>
      <c r="M219" s="1" t="s">
        <v>47</v>
      </c>
      <c r="N219" s="88" t="s">
        <v>131</v>
      </c>
    </row>
    <row r="220" spans="2:14" ht="21" customHeight="1">
      <c r="B220" s="22"/>
      <c r="C220" s="26"/>
      <c r="E220" s="21">
        <v>3</v>
      </c>
      <c r="F220" s="92">
        <f>1-D23</f>
        <v>2.5474500000000067E-4</v>
      </c>
      <c r="G220" s="42" t="s">
        <v>21</v>
      </c>
      <c r="H220" s="3">
        <f>DASHBOARD!D41</f>
        <v>26.004000000000001</v>
      </c>
      <c r="I220" s="32">
        <f>IF(C13=0,0,C13*F221*((36+((ROUNDUP((D221*D212)/(C13*F221)/50,0))*DASHBOARD!$D$132))/60)*(8/7))</f>
        <v>18.019047619047619</v>
      </c>
      <c r="J220" s="55">
        <f>1/(F221*D221/100)</f>
        <v>6.6666666666666671E-3</v>
      </c>
      <c r="K220" s="55">
        <f>F220*I220*J220</f>
        <v>3.0601748571428653E-5</v>
      </c>
      <c r="L220" s="4">
        <f>H220*I220*J220</f>
        <v>3.1237820952380955</v>
      </c>
      <c r="M220" s="1" t="s">
        <v>167</v>
      </c>
      <c r="N220" s="87" t="s">
        <v>128</v>
      </c>
    </row>
    <row r="221" spans="2:14" ht="30.75" customHeight="1">
      <c r="B221" s="22"/>
      <c r="D221" s="2">
        <f>DASHBOARD!$D$120</f>
        <v>7500</v>
      </c>
      <c r="E221" s="21" t="s">
        <v>154</v>
      </c>
      <c r="F221" s="2">
        <v>2</v>
      </c>
      <c r="G221" s="1" t="s">
        <v>22</v>
      </c>
      <c r="H221" s="3">
        <f>DASHBOARD!D64</f>
        <v>7.242172727E-2</v>
      </c>
      <c r="I221" s="32">
        <v>1</v>
      </c>
      <c r="J221" s="55">
        <f>C13*32.8*F221*J220</f>
        <v>4.8106666666666662</v>
      </c>
      <c r="K221" s="55"/>
      <c r="L221" s="4">
        <f>H221*I221*J221</f>
        <v>0.34839678932021328</v>
      </c>
      <c r="M221" s="1" t="s">
        <v>168</v>
      </c>
      <c r="N221" s="87" t="s">
        <v>129</v>
      </c>
    </row>
    <row r="222" spans="2:14" ht="47.1" customHeight="1">
      <c r="B222" s="22"/>
      <c r="D222" s="97"/>
      <c r="G222" s="1" t="s">
        <v>158</v>
      </c>
      <c r="H222" s="3">
        <f>DASHBOARD!D65</f>
        <v>42.91</v>
      </c>
      <c r="I222" s="32">
        <f>I220/8</f>
        <v>2.2523809523809524</v>
      </c>
      <c r="J222" s="55">
        <f>1/(D221/100)</f>
        <v>1.3333333333333334E-2</v>
      </c>
      <c r="K222" s="55"/>
      <c r="L222" s="4">
        <f>H222*I222*J222</f>
        <v>1.2886622222222222</v>
      </c>
      <c r="M222" s="1" t="s">
        <v>160</v>
      </c>
      <c r="N222" s="87"/>
    </row>
    <row r="223" spans="2:14">
      <c r="B223" s="22"/>
      <c r="G223" s="1" t="s">
        <v>23</v>
      </c>
      <c r="H223" s="3">
        <f>DASHBOARD!D66</f>
        <v>0.18703</v>
      </c>
      <c r="I223" s="26">
        <v>1</v>
      </c>
      <c r="J223" s="55">
        <v>100</v>
      </c>
      <c r="K223" s="55"/>
      <c r="L223" s="4">
        <f t="shared" ref="L223:L224" si="7">H223*I223*J223</f>
        <v>18.702999999999999</v>
      </c>
      <c r="N223" s="87" t="s">
        <v>132</v>
      </c>
    </row>
    <row r="224" spans="2:14">
      <c r="B224" s="22"/>
      <c r="G224" s="1" t="s">
        <v>24</v>
      </c>
      <c r="H224" s="3">
        <f>DASHBOARD!D67</f>
        <v>1.274775</v>
      </c>
      <c r="I224" s="12">
        <v>1</v>
      </c>
      <c r="J224" s="11">
        <v>2</v>
      </c>
      <c r="K224" s="11"/>
      <c r="L224" s="4">
        <f t="shared" si="7"/>
        <v>2.54955</v>
      </c>
      <c r="M224" s="1" t="s">
        <v>47</v>
      </c>
      <c r="N224" s="88" t="s">
        <v>131</v>
      </c>
    </row>
    <row r="225" spans="2:14" ht="18" customHeight="1">
      <c r="B225" s="22"/>
      <c r="F225" s="134">
        <f>IF(OR(DASHBOARD!$D$111,DASHBOARD!$D$112=1),1,0)</f>
        <v>0</v>
      </c>
      <c r="G225" s="24" t="s">
        <v>418</v>
      </c>
      <c r="H225" s="165">
        <f>DASHBOARD!$D$66</f>
        <v>0.18703</v>
      </c>
      <c r="I225" s="166">
        <v>1</v>
      </c>
      <c r="J225" s="167">
        <v>100</v>
      </c>
      <c r="K225" s="167"/>
      <c r="L225" s="168">
        <f>F225*H225*I225*J225</f>
        <v>0</v>
      </c>
      <c r="N225" s="87" t="s">
        <v>132</v>
      </c>
    </row>
    <row r="226" spans="2:14" ht="18" customHeight="1">
      <c r="B226" s="22"/>
      <c r="F226" s="135" t="s">
        <v>281</v>
      </c>
      <c r="G226" s="24" t="s">
        <v>419</v>
      </c>
      <c r="H226" s="165">
        <f>DASHBOARD!$D$67</f>
        <v>1.274775</v>
      </c>
      <c r="I226" s="169">
        <v>1</v>
      </c>
      <c r="J226" s="167">
        <v>2</v>
      </c>
      <c r="K226" s="167"/>
      <c r="L226" s="168">
        <f>F225*H226*I226*J226</f>
        <v>0</v>
      </c>
      <c r="M226" s="1" t="s">
        <v>47</v>
      </c>
      <c r="N226" s="88" t="s">
        <v>131</v>
      </c>
    </row>
    <row r="227" spans="2:14" ht="21" customHeight="1" thickBot="1">
      <c r="B227" s="9" t="s">
        <v>7</v>
      </c>
      <c r="C227" s="10"/>
      <c r="D227" s="14"/>
      <c r="E227" s="20"/>
      <c r="F227" s="14"/>
      <c r="G227" s="10"/>
      <c r="H227" s="549" t="s">
        <v>81</v>
      </c>
      <c r="I227" s="549"/>
      <c r="J227" s="549"/>
      <c r="K227" s="243"/>
      <c r="L227" s="70">
        <f>D212*(SUM(L213:L219)*F213+SUM(L220:L226)*F220+SUM(L212)*F212)</f>
        <v>24.561767187269734</v>
      </c>
      <c r="M227" s="69" t="str">
        <f>"Per Person Cost is "&amp;ROUND(L227/100,2)&amp;" and the cost per "&amp;$C$4&amp;" people is "&amp;ROUND(L227/100*$C$4,2)</f>
        <v>Per Person Cost is 0.25 and the cost per 86446 people is 21232.67</v>
      </c>
    </row>
    <row r="228" spans="2:14" ht="21" customHeight="1">
      <c r="B228" s="23" t="s">
        <v>25</v>
      </c>
      <c r="C228" s="26">
        <f>C4</f>
        <v>86446</v>
      </c>
      <c r="D228" s="134">
        <f>(1-DASHBOARD!$D$135)*DASHBOARD!$D$139</f>
        <v>1</v>
      </c>
      <c r="E228" s="21" t="s">
        <v>337</v>
      </c>
      <c r="F228" s="2">
        <f>1-F242</f>
        <v>0.99877000000000005</v>
      </c>
      <c r="G228" s="42" t="s">
        <v>14</v>
      </c>
      <c r="H228" s="3">
        <f>DASHBOARD!D35</f>
        <v>24.612000000000002</v>
      </c>
      <c r="I228" s="1">
        <f>DASHBOARD!D150*(100/60)*(8/7)</f>
        <v>7.6190476190476186</v>
      </c>
      <c r="J228" s="1">
        <v>1</v>
      </c>
      <c r="K228" s="53">
        <f>D228*F228*I228*J228</f>
        <v>7.6096761904761907</v>
      </c>
      <c r="L228" s="4">
        <f>H228*I228*J228</f>
        <v>187.52</v>
      </c>
      <c r="M228" s="1" t="s">
        <v>50</v>
      </c>
      <c r="N228" s="87" t="s">
        <v>133</v>
      </c>
    </row>
    <row r="229" spans="2:14">
      <c r="B229" s="23"/>
      <c r="D229" s="135" t="s">
        <v>329</v>
      </c>
      <c r="F229" s="133" t="s">
        <v>346</v>
      </c>
      <c r="G229" s="42" t="s">
        <v>31</v>
      </c>
      <c r="H229" s="3">
        <f>DASHBOARD!D44</f>
        <v>48</v>
      </c>
      <c r="I229" s="11">
        <f>SUM(I233:I235)*(1/100)</f>
        <v>0.11958095238095236</v>
      </c>
      <c r="J229" s="1">
        <v>1</v>
      </c>
      <c r="K229" s="53">
        <f>D228*F228*I229*J229</f>
        <v>0.11943386780952379</v>
      </c>
      <c r="L229" s="4">
        <f t="shared" ref="L229:L255" si="8">H229*I229*J229</f>
        <v>5.7398857142857134</v>
      </c>
      <c r="M229" s="1" t="s">
        <v>136</v>
      </c>
      <c r="N229" s="87" t="s">
        <v>115</v>
      </c>
    </row>
    <row r="230" spans="2:14">
      <c r="B230" s="23" t="s">
        <v>348</v>
      </c>
      <c r="D230" s="134"/>
      <c r="G230" s="42" t="s">
        <v>32</v>
      </c>
      <c r="H230" s="3">
        <f>DASHBOARD!D49</f>
        <v>58.847999999999999</v>
      </c>
      <c r="I230" s="11">
        <f>SUM(I233:I235)*(1/10)</f>
        <v>1.1958095238095237</v>
      </c>
      <c r="J230" s="1">
        <v>1</v>
      </c>
      <c r="K230" s="53">
        <f>D228*F228*I230*J230</f>
        <v>1.1943386780952381</v>
      </c>
      <c r="L230" s="4">
        <f t="shared" si="8"/>
        <v>70.370998857142851</v>
      </c>
      <c r="M230" s="1" t="s">
        <v>137</v>
      </c>
      <c r="N230" s="87" t="s">
        <v>134</v>
      </c>
    </row>
    <row r="231" spans="2:14">
      <c r="B231" s="23" t="s">
        <v>349</v>
      </c>
      <c r="D231" s="134"/>
      <c r="G231" s="42" t="s">
        <v>33</v>
      </c>
      <c r="H231" s="3">
        <f>DASHBOARD!D50</f>
        <v>39</v>
      </c>
      <c r="I231" s="11">
        <f>SUM(I233:I235)*(1/33)</f>
        <v>0.36236652236652234</v>
      </c>
      <c r="J231" s="1">
        <v>1</v>
      </c>
      <c r="K231" s="53">
        <f>D228*F228*I231*J231</f>
        <v>0.36192081154401151</v>
      </c>
      <c r="L231" s="4">
        <f t="shared" si="8"/>
        <v>14.132294372294371</v>
      </c>
      <c r="M231" s="1" t="s">
        <v>138</v>
      </c>
      <c r="N231" s="87" t="s">
        <v>115</v>
      </c>
    </row>
    <row r="232" spans="2:14">
      <c r="B232" s="23" t="s">
        <v>350</v>
      </c>
      <c r="D232" s="134"/>
      <c r="G232" s="42" t="s">
        <v>34</v>
      </c>
      <c r="H232" s="3">
        <f>DASHBOARD!D51</f>
        <v>43.199999999999996</v>
      </c>
      <c r="I232" s="1">
        <f>SUM(I233:I235)*(1/100)</f>
        <v>0.11958095238095236</v>
      </c>
      <c r="J232" s="1">
        <v>1</v>
      </c>
      <c r="K232" s="53">
        <f>D228*F228*I232*J232</f>
        <v>0.11943386780952379</v>
      </c>
      <c r="L232" s="4">
        <f t="shared" si="8"/>
        <v>5.1658971428571414</v>
      </c>
      <c r="M232" s="1" t="s">
        <v>136</v>
      </c>
      <c r="N232" s="87" t="s">
        <v>135</v>
      </c>
    </row>
    <row r="233" spans="2:14">
      <c r="B233" s="23"/>
      <c r="D233" s="134"/>
      <c r="F233" s="2" t="s">
        <v>451</v>
      </c>
      <c r="G233" s="42" t="s">
        <v>27</v>
      </c>
      <c r="H233" s="3">
        <f>DASHBOARD!D39</f>
        <v>30</v>
      </c>
      <c r="I233" s="1">
        <f>5*(8/7)</f>
        <v>5.7142857142857135</v>
      </c>
      <c r="J233" s="1">
        <v>1</v>
      </c>
      <c r="K233" s="53">
        <f>D228*F228*I233*J233</f>
        <v>5.7072571428571424</v>
      </c>
      <c r="L233" s="4">
        <f t="shared" si="8"/>
        <v>171.42857142857142</v>
      </c>
      <c r="M233" s="1" t="s">
        <v>48</v>
      </c>
      <c r="N233" s="87" t="s">
        <v>115</v>
      </c>
    </row>
    <row r="234" spans="2:14" ht="15" customHeight="1">
      <c r="B234" s="23"/>
      <c r="D234" s="134"/>
      <c r="F234" s="2" t="s">
        <v>452</v>
      </c>
      <c r="G234" s="42" t="s">
        <v>27</v>
      </c>
      <c r="H234" s="3">
        <f>DASHBOARD!D39</f>
        <v>30</v>
      </c>
      <c r="I234" s="1">
        <f>2.13*(8/7)</f>
        <v>2.4342857142857142</v>
      </c>
      <c r="J234" s="1">
        <v>1</v>
      </c>
      <c r="K234" s="53">
        <f>D228*F228*I234*J234</f>
        <v>2.4312915428571427</v>
      </c>
      <c r="L234" s="4">
        <f t="shared" si="8"/>
        <v>73.028571428571425</v>
      </c>
      <c r="M234" s="1" t="s">
        <v>49</v>
      </c>
      <c r="N234" s="87" t="s">
        <v>115</v>
      </c>
    </row>
    <row r="235" spans="2:14">
      <c r="B235" s="23"/>
      <c r="D235" s="134"/>
      <c r="F235" s="2" t="s">
        <v>453</v>
      </c>
      <c r="G235" s="66" t="s">
        <v>27</v>
      </c>
      <c r="H235" s="3">
        <f>DASHBOARD!D39</f>
        <v>30</v>
      </c>
      <c r="I235" s="1">
        <f>(DASHBOARD!D154*100)/60*(8/7)</f>
        <v>3.8095238095238093</v>
      </c>
      <c r="J235" s="1">
        <v>1</v>
      </c>
      <c r="K235" s="53">
        <f>D228*F228*I235*J235</f>
        <v>3.8048380952380954</v>
      </c>
      <c r="L235" s="4">
        <f t="shared" si="8"/>
        <v>114.28571428571428</v>
      </c>
      <c r="M235" s="27" t="s">
        <v>77</v>
      </c>
      <c r="N235" s="87" t="s">
        <v>115</v>
      </c>
    </row>
    <row r="236" spans="2:14">
      <c r="B236" s="23"/>
      <c r="D236" s="134"/>
      <c r="G236" s="1" t="s">
        <v>41</v>
      </c>
      <c r="H236" s="3">
        <f>DASHBOARD!D57</f>
        <v>3.95</v>
      </c>
      <c r="I236" s="1">
        <v>1</v>
      </c>
      <c r="J236" s="53">
        <f>2*SUM(I233:I235)/8</f>
        <v>2.989523809523809</v>
      </c>
      <c r="K236" s="53"/>
      <c r="L236" s="4">
        <f t="shared" si="8"/>
        <v>11.808619047619047</v>
      </c>
      <c r="M236" s="1" t="s">
        <v>139</v>
      </c>
      <c r="N236" s="87" t="s">
        <v>117</v>
      </c>
    </row>
    <row r="237" spans="2:14">
      <c r="B237" s="23"/>
      <c r="D237" s="134"/>
      <c r="G237" s="1" t="s">
        <v>9</v>
      </c>
      <c r="H237" s="3">
        <f>DASHBOARD!D58</f>
        <v>13.95</v>
      </c>
      <c r="I237" s="1">
        <v>1</v>
      </c>
      <c r="J237" s="53">
        <f>2*SUM(I233:I235)/8</f>
        <v>2.989523809523809</v>
      </c>
      <c r="K237" s="53"/>
      <c r="L237" s="4">
        <f t="shared" si="8"/>
        <v>41.703857142857132</v>
      </c>
      <c r="M237" s="1" t="s">
        <v>139</v>
      </c>
      <c r="N237" s="87" t="s">
        <v>118</v>
      </c>
    </row>
    <row r="238" spans="2:14">
      <c r="B238" s="23"/>
      <c r="D238" s="134"/>
      <c r="G238" s="1" t="s">
        <v>16</v>
      </c>
      <c r="H238" s="3">
        <f>DASHBOARD!D59</f>
        <v>0.23960000000000001</v>
      </c>
      <c r="I238" s="1">
        <v>1</v>
      </c>
      <c r="J238" s="53">
        <f>ROUNDUP(I228/8,0)+(ROUNDUP(I233/8,0)+ROUNDUP(I234/8,0)+ROUNDUP(I235/8,0))*(100/DASHBOARD!$D$121)</f>
        <v>7.3829787234042552</v>
      </c>
      <c r="K238" s="53"/>
      <c r="L238" s="4">
        <f t="shared" si="8"/>
        <v>1.7689617021276596</v>
      </c>
      <c r="M238" s="1" t="s">
        <v>140</v>
      </c>
      <c r="N238" s="87" t="s">
        <v>119</v>
      </c>
    </row>
    <row r="239" spans="2:14">
      <c r="B239" s="23"/>
      <c r="D239" s="134"/>
      <c r="G239" s="1" t="s">
        <v>10</v>
      </c>
      <c r="H239" s="3">
        <f>DASHBOARD!D60</f>
        <v>1.7004999999999999</v>
      </c>
      <c r="I239" s="1">
        <v>1</v>
      </c>
      <c r="J239" s="53">
        <f>2*SUM(I233:I235)/8</f>
        <v>2.989523809523809</v>
      </c>
      <c r="K239" s="53"/>
      <c r="L239" s="4">
        <f t="shared" si="8"/>
        <v>5.0836852380952369</v>
      </c>
      <c r="M239" s="1" t="s">
        <v>139</v>
      </c>
      <c r="N239" s="87" t="s">
        <v>119</v>
      </c>
    </row>
    <row r="240" spans="2:14">
      <c r="B240" s="23"/>
      <c r="D240" s="134"/>
      <c r="G240" s="1" t="s">
        <v>28</v>
      </c>
      <c r="H240" s="3">
        <f>DASHBOARD!D75</f>
        <v>12.16</v>
      </c>
      <c r="I240" s="1">
        <v>1</v>
      </c>
      <c r="J240" s="1">
        <v>100</v>
      </c>
      <c r="K240" s="53"/>
      <c r="L240" s="4">
        <f t="shared" si="8"/>
        <v>1216</v>
      </c>
      <c r="N240" s="87" t="s">
        <v>141</v>
      </c>
    </row>
    <row r="241" spans="2:14">
      <c r="B241" s="23"/>
      <c r="D241" s="134"/>
      <c r="G241" s="1" t="s">
        <v>29</v>
      </c>
      <c r="H241" s="3">
        <f>DASHBOARD!D76</f>
        <v>0.72</v>
      </c>
      <c r="I241" s="1">
        <v>1</v>
      </c>
      <c r="J241" s="1">
        <v>100</v>
      </c>
      <c r="K241" s="53"/>
      <c r="L241" s="4">
        <f t="shared" si="8"/>
        <v>72</v>
      </c>
      <c r="N241" s="87" t="s">
        <v>142</v>
      </c>
    </row>
    <row r="242" spans="2:14">
      <c r="B242" s="23"/>
      <c r="D242" s="134"/>
      <c r="F242" s="2">
        <f>DASHBOARD!$D$101</f>
        <v>1.23E-3</v>
      </c>
      <c r="G242" s="42" t="s">
        <v>14</v>
      </c>
      <c r="H242" s="3">
        <f>DASHBOARD!D35</f>
        <v>24.612000000000002</v>
      </c>
      <c r="I242" s="1">
        <f>DASHBOARD!D150*(100/60)*(8/7)</f>
        <v>7.6190476190476186</v>
      </c>
      <c r="J242" s="1">
        <v>1</v>
      </c>
      <c r="K242" s="53">
        <f>D228*F242*I242*J242</f>
        <v>9.3714285714285705E-3</v>
      </c>
      <c r="L242" s="4">
        <f>H242*I242*J242</f>
        <v>187.52</v>
      </c>
      <c r="M242" s="1" t="s">
        <v>50</v>
      </c>
      <c r="N242" s="87" t="s">
        <v>133</v>
      </c>
    </row>
    <row r="243" spans="2:14">
      <c r="B243" s="23"/>
      <c r="D243" s="134"/>
      <c r="F243" s="133" t="s">
        <v>347</v>
      </c>
      <c r="G243" s="42" t="s">
        <v>31</v>
      </c>
      <c r="H243" s="3">
        <f>DASHBOARD!D44</f>
        <v>48</v>
      </c>
      <c r="I243" s="11">
        <f>SUM(I247:I249)*(1/100)</f>
        <v>0.17672380952380951</v>
      </c>
      <c r="J243" s="1">
        <v>1</v>
      </c>
      <c r="K243" s="53">
        <f>D228*F242*I243*J243</f>
        <v>2.1737028571428569E-4</v>
      </c>
      <c r="L243" s="4">
        <f t="shared" ref="L243:L254" si="9">H243*I243*J243</f>
        <v>8.4827428571428563</v>
      </c>
      <c r="M243" s="1" t="s">
        <v>136</v>
      </c>
      <c r="N243" s="87" t="s">
        <v>115</v>
      </c>
    </row>
    <row r="244" spans="2:14">
      <c r="B244" s="23"/>
      <c r="D244" s="134"/>
      <c r="G244" s="42" t="s">
        <v>32</v>
      </c>
      <c r="H244" s="3">
        <f>DASHBOARD!D49</f>
        <v>58.847999999999999</v>
      </c>
      <c r="I244" s="11">
        <f>SUM(I247:I249)*(1/10)</f>
        <v>1.7672380952380953</v>
      </c>
      <c r="J244" s="1">
        <v>1</v>
      </c>
      <c r="K244" s="53">
        <f>D228*F242*I244*J244</f>
        <v>2.1737028571428571E-3</v>
      </c>
      <c r="L244" s="4">
        <f t="shared" si="9"/>
        <v>103.99842742857143</v>
      </c>
      <c r="M244" s="1" t="s">
        <v>137</v>
      </c>
      <c r="N244" s="87" t="s">
        <v>134</v>
      </c>
    </row>
    <row r="245" spans="2:14">
      <c r="B245" s="23"/>
      <c r="D245" s="134"/>
      <c r="G245" s="42" t="s">
        <v>33</v>
      </c>
      <c r="H245" s="3">
        <f>DASHBOARD!D50</f>
        <v>39</v>
      </c>
      <c r="I245" s="11">
        <f>SUM(I247:I249)*(1/33)</f>
        <v>0.53552669552669552</v>
      </c>
      <c r="J245" s="1">
        <v>1</v>
      </c>
      <c r="K245" s="53">
        <f>D228*F242*I245*J245</f>
        <v>6.5869783549783549E-4</v>
      </c>
      <c r="L245" s="4">
        <f t="shared" si="9"/>
        <v>20.885541125541124</v>
      </c>
      <c r="M245" s="1" t="s">
        <v>138</v>
      </c>
      <c r="N245" s="87" t="s">
        <v>115</v>
      </c>
    </row>
    <row r="246" spans="2:14">
      <c r="B246" s="23"/>
      <c r="D246" s="134"/>
      <c r="G246" s="42" t="s">
        <v>34</v>
      </c>
      <c r="H246" s="3">
        <f>DASHBOARD!D51</f>
        <v>43.199999999999996</v>
      </c>
      <c r="I246" s="1">
        <f>SUM(I247:I249)*(1/100)</f>
        <v>0.17672380952380951</v>
      </c>
      <c r="J246" s="1">
        <v>1</v>
      </c>
      <c r="K246" s="53">
        <f>D228*F242*I246*J246</f>
        <v>2.1737028571428569E-4</v>
      </c>
      <c r="L246" s="4">
        <f t="shared" si="9"/>
        <v>7.6344685714285703</v>
      </c>
      <c r="M246" s="1" t="s">
        <v>136</v>
      </c>
      <c r="N246" s="87" t="s">
        <v>135</v>
      </c>
    </row>
    <row r="247" spans="2:14">
      <c r="B247" s="23"/>
      <c r="D247" s="134"/>
      <c r="F247" s="2" t="s">
        <v>451</v>
      </c>
      <c r="G247" s="42" t="s">
        <v>27</v>
      </c>
      <c r="H247" s="3">
        <f>DASHBOARD!D39</f>
        <v>30</v>
      </c>
      <c r="I247" s="1">
        <f>5*(8/7)</f>
        <v>5.7142857142857135</v>
      </c>
      <c r="J247" s="1">
        <v>1</v>
      </c>
      <c r="K247" s="53">
        <f>D228*F242*I247*J247</f>
        <v>7.0285714285714274E-3</v>
      </c>
      <c r="L247" s="4">
        <f t="shared" si="9"/>
        <v>171.42857142857142</v>
      </c>
      <c r="M247" s="1" t="s">
        <v>48</v>
      </c>
      <c r="N247" s="87" t="s">
        <v>115</v>
      </c>
    </row>
    <row r="248" spans="2:14">
      <c r="B248" s="23"/>
      <c r="D248" s="134"/>
      <c r="F248" s="2" t="s">
        <v>452</v>
      </c>
      <c r="G248" s="42" t="s">
        <v>27</v>
      </c>
      <c r="H248" s="3">
        <f>DASHBOARD!D39</f>
        <v>30</v>
      </c>
      <c r="I248" s="1">
        <f>2.13*(8/7)</f>
        <v>2.4342857142857142</v>
      </c>
      <c r="J248" s="1">
        <v>1</v>
      </c>
      <c r="K248" s="53">
        <f>D228*F242*I248*J248</f>
        <v>2.9941714285714282E-3</v>
      </c>
      <c r="L248" s="4">
        <f t="shared" si="9"/>
        <v>73.028571428571425</v>
      </c>
      <c r="M248" s="1" t="s">
        <v>49</v>
      </c>
      <c r="N248" s="87" t="s">
        <v>115</v>
      </c>
    </row>
    <row r="249" spans="2:14">
      <c r="B249" s="23"/>
      <c r="D249" s="134"/>
      <c r="F249" s="2" t="s">
        <v>453</v>
      </c>
      <c r="G249" s="66" t="s">
        <v>27</v>
      </c>
      <c r="H249" s="3">
        <f>DASHBOARD!D39</f>
        <v>30</v>
      </c>
      <c r="I249" s="1">
        <f>(DASHBOARD!D153*100)/60*(8/7)</f>
        <v>9.5238095238095237</v>
      </c>
      <c r="J249" s="1">
        <v>1</v>
      </c>
      <c r="K249" s="53">
        <f>D228*F242*I249*J249</f>
        <v>1.1714285714285714E-2</v>
      </c>
      <c r="L249" s="4">
        <f t="shared" si="9"/>
        <v>285.71428571428572</v>
      </c>
      <c r="M249" s="27" t="s">
        <v>171</v>
      </c>
      <c r="N249" s="87" t="s">
        <v>115</v>
      </c>
    </row>
    <row r="250" spans="2:14">
      <c r="B250" s="23"/>
      <c r="D250" s="134"/>
      <c r="G250" s="1" t="s">
        <v>41</v>
      </c>
      <c r="H250" s="3">
        <f>DASHBOARD!D57</f>
        <v>3.95</v>
      </c>
      <c r="I250" s="1">
        <v>1</v>
      </c>
      <c r="J250" s="53">
        <f>2*SUM(I247:I249)/8</f>
        <v>4.4180952380952379</v>
      </c>
      <c r="K250" s="53"/>
      <c r="L250" s="4">
        <f t="shared" si="9"/>
        <v>17.451476190476189</v>
      </c>
      <c r="M250" s="1" t="s">
        <v>139</v>
      </c>
      <c r="N250" s="87" t="s">
        <v>117</v>
      </c>
    </row>
    <row r="251" spans="2:14">
      <c r="B251" s="23"/>
      <c r="D251" s="134"/>
      <c r="G251" s="1" t="s">
        <v>9</v>
      </c>
      <c r="H251" s="3">
        <f>DASHBOARD!D58</f>
        <v>13.95</v>
      </c>
      <c r="I251" s="1">
        <v>1</v>
      </c>
      <c r="J251" s="53">
        <f>2*SUM(I247:I249)/8</f>
        <v>4.4180952380952379</v>
      </c>
      <c r="K251" s="53"/>
      <c r="L251" s="4">
        <f t="shared" si="9"/>
        <v>61.632428571428562</v>
      </c>
      <c r="M251" s="1" t="s">
        <v>139</v>
      </c>
      <c r="N251" s="87" t="s">
        <v>118</v>
      </c>
    </row>
    <row r="252" spans="2:14">
      <c r="B252" s="23"/>
      <c r="D252" s="134"/>
      <c r="G252" s="1" t="s">
        <v>16</v>
      </c>
      <c r="H252" s="3">
        <f>DASHBOARD!D59</f>
        <v>0.23960000000000001</v>
      </c>
      <c r="I252" s="1">
        <v>1</v>
      </c>
      <c r="J252" s="53">
        <f>ROUNDUP(I242/8,0)+(ROUNDUP(I247/8,0)+ROUNDUP(I248/8,0)+ROUNDUP(I249/8,0))*(100/DASHBOARD!$D$121)</f>
        <v>9.5106382978723403</v>
      </c>
      <c r="K252" s="53"/>
      <c r="L252" s="4">
        <f t="shared" si="9"/>
        <v>2.2787489361702127</v>
      </c>
      <c r="M252" s="1" t="s">
        <v>140</v>
      </c>
      <c r="N252" s="87" t="s">
        <v>119</v>
      </c>
    </row>
    <row r="253" spans="2:14">
      <c r="B253" s="23"/>
      <c r="D253" s="134"/>
      <c r="G253" s="1" t="s">
        <v>10</v>
      </c>
      <c r="H253" s="3">
        <f>DASHBOARD!D60</f>
        <v>1.7004999999999999</v>
      </c>
      <c r="I253" s="1">
        <v>1</v>
      </c>
      <c r="J253" s="53">
        <f>2*SUM(I247:I249)/8</f>
        <v>4.4180952380952379</v>
      </c>
      <c r="K253" s="53"/>
      <c r="L253" s="4">
        <f t="shared" si="9"/>
        <v>7.5129709523809511</v>
      </c>
      <c r="M253" s="1" t="s">
        <v>139</v>
      </c>
      <c r="N253" s="87" t="s">
        <v>119</v>
      </c>
    </row>
    <row r="254" spans="2:14">
      <c r="B254" s="23"/>
      <c r="D254" s="134"/>
      <c r="G254" s="1" t="s">
        <v>28</v>
      </c>
      <c r="H254" s="3">
        <f>DASHBOARD!D75</f>
        <v>12.16</v>
      </c>
      <c r="I254" s="1">
        <v>1</v>
      </c>
      <c r="J254" s="1">
        <v>100</v>
      </c>
      <c r="K254" s="53"/>
      <c r="L254" s="4">
        <f t="shared" si="9"/>
        <v>1216</v>
      </c>
      <c r="N254" s="87" t="s">
        <v>141</v>
      </c>
    </row>
    <row r="255" spans="2:14" ht="16.350000000000001" customHeight="1">
      <c r="B255" s="23"/>
      <c r="D255" s="134"/>
      <c r="G255" s="1" t="s">
        <v>29</v>
      </c>
      <c r="H255" s="3">
        <f>DASHBOARD!D76</f>
        <v>0.72</v>
      </c>
      <c r="I255" s="1">
        <v>1</v>
      </c>
      <c r="J255" s="1">
        <v>100</v>
      </c>
      <c r="K255" s="53"/>
      <c r="L255" s="4">
        <f t="shared" si="8"/>
        <v>72</v>
      </c>
      <c r="N255" s="87" t="s">
        <v>142</v>
      </c>
    </row>
    <row r="256" spans="2:14" ht="42.75" customHeight="1">
      <c r="B256" s="23"/>
      <c r="C256" s="26">
        <f>C4</f>
        <v>86446</v>
      </c>
      <c r="D256" s="140">
        <f>DASHBOARD!$D$135*DASHBOARD!$D$139</f>
        <v>0</v>
      </c>
      <c r="E256" s="21" t="s">
        <v>338</v>
      </c>
      <c r="F256" s="139">
        <f>1-F270</f>
        <v>0.99508906995882096</v>
      </c>
      <c r="G256" s="42" t="s">
        <v>14</v>
      </c>
      <c r="H256" s="3">
        <f>DASHBOARD!$D$35</f>
        <v>24.612000000000002</v>
      </c>
      <c r="I256" s="11">
        <f>DASHBOARD!$D$150*(100/60)*(8/7)</f>
        <v>7.6190476190476186</v>
      </c>
      <c r="J256" s="11">
        <v>1</v>
      </c>
      <c r="K256" s="11">
        <f>D256*F256*I256*J256</f>
        <v>0</v>
      </c>
      <c r="L256" s="4">
        <f>H256*I256*J256/DASHBOARD!$D$136</f>
        <v>46.88</v>
      </c>
      <c r="M256" s="1" t="s">
        <v>50</v>
      </c>
      <c r="N256" s="87" t="s">
        <v>133</v>
      </c>
    </row>
    <row r="257" spans="2:14">
      <c r="B257" s="23"/>
      <c r="D257" s="141" t="s">
        <v>330</v>
      </c>
      <c r="E257" s="21" t="s">
        <v>333</v>
      </c>
      <c r="F257" s="133" t="s">
        <v>332</v>
      </c>
      <c r="G257" s="42" t="s">
        <v>31</v>
      </c>
      <c r="H257" s="3">
        <f>DASHBOARD!$D$44</f>
        <v>48</v>
      </c>
      <c r="I257" s="11">
        <f>SUM(I261:I263)*(1/100)</f>
        <v>0.13862857142895238</v>
      </c>
      <c r="J257" s="11">
        <v>1</v>
      </c>
      <c r="K257" s="11">
        <f>D256*F256*I257*J257</f>
        <v>0</v>
      </c>
      <c r="L257" s="4">
        <f>H257*I257*J257/DASHBOARD!$D$136</f>
        <v>1.6635428571474287</v>
      </c>
      <c r="M257" s="1" t="s">
        <v>136</v>
      </c>
      <c r="N257" s="87" t="s">
        <v>115</v>
      </c>
    </row>
    <row r="258" spans="2:14">
      <c r="B258" s="23"/>
      <c r="D258" s="140"/>
      <c r="E258" s="137" t="s">
        <v>339</v>
      </c>
      <c r="G258" s="42" t="s">
        <v>32</v>
      </c>
      <c r="H258" s="3">
        <f>DASHBOARD!$D$49</f>
        <v>58.847999999999999</v>
      </c>
      <c r="I258" s="11">
        <f>SUM(I261:I263)*(1/10)</f>
        <v>1.3862857142895237</v>
      </c>
      <c r="J258" s="11">
        <v>1</v>
      </c>
      <c r="K258" s="11">
        <f>D256*F256*I258*J258</f>
        <v>0</v>
      </c>
      <c r="L258" s="4">
        <f>H258*I258*J258/DASHBOARD!$D$136</f>
        <v>20.395035428627473</v>
      </c>
      <c r="M258" s="1" t="s">
        <v>137</v>
      </c>
      <c r="N258" s="87" t="s">
        <v>134</v>
      </c>
    </row>
    <row r="259" spans="2:14">
      <c r="B259" s="23"/>
      <c r="D259" s="140"/>
      <c r="E259" s="137" t="s">
        <v>340</v>
      </c>
      <c r="G259" s="42" t="s">
        <v>33</v>
      </c>
      <c r="H259" s="3">
        <f>DASHBOARD!$D$50</f>
        <v>39</v>
      </c>
      <c r="I259" s="11">
        <f>SUM(I261:I263)*(1/33)</f>
        <v>0.42008658008773447</v>
      </c>
      <c r="J259" s="11">
        <v>1</v>
      </c>
      <c r="K259" s="11">
        <f>D256*F256*I259*J259</f>
        <v>0</v>
      </c>
      <c r="L259" s="4">
        <f>H259*I259*J259/DASHBOARD!$D$136</f>
        <v>4.0958441558554108</v>
      </c>
      <c r="M259" s="1" t="s">
        <v>138</v>
      </c>
      <c r="N259" s="87" t="s">
        <v>115</v>
      </c>
    </row>
    <row r="260" spans="2:14">
      <c r="B260" s="23"/>
      <c r="D260" s="140"/>
      <c r="E260" s="137" t="s">
        <v>335</v>
      </c>
      <c r="G260" s="42" t="s">
        <v>34</v>
      </c>
      <c r="H260" s="3">
        <f>DASHBOARD!$D$51</f>
        <v>43.199999999999996</v>
      </c>
      <c r="I260" s="11">
        <f>SUM(I261:I263)*(1/100)</f>
        <v>0.13862857142895238</v>
      </c>
      <c r="J260" s="11">
        <v>1</v>
      </c>
      <c r="K260" s="11">
        <f>D256*F256*I260*J260</f>
        <v>0</v>
      </c>
      <c r="L260" s="4">
        <f>H260*I260*J260/DASHBOARD!$D$136</f>
        <v>1.4971885714326856</v>
      </c>
      <c r="M260" s="1" t="s">
        <v>136</v>
      </c>
      <c r="N260" s="87" t="s">
        <v>135</v>
      </c>
    </row>
    <row r="261" spans="2:14">
      <c r="B261" s="23"/>
      <c r="D261" s="140"/>
      <c r="E261" s="138" t="s">
        <v>341</v>
      </c>
      <c r="F261" s="2" t="s">
        <v>451</v>
      </c>
      <c r="G261" s="42" t="s">
        <v>27</v>
      </c>
      <c r="H261" s="3">
        <f>DASHBOARD!$D$39</f>
        <v>30</v>
      </c>
      <c r="I261" s="11">
        <f>6.6666666667*(8/7)</f>
        <v>7.6190476190857144</v>
      </c>
      <c r="J261" s="11">
        <v>1</v>
      </c>
      <c r="K261" s="11">
        <f>D256*F256*I261*J261</f>
        <v>0</v>
      </c>
      <c r="L261" s="4">
        <f>H261*I261*J261/DASHBOARD!$D$136</f>
        <v>57.142857143142855</v>
      </c>
      <c r="M261" s="1" t="s">
        <v>342</v>
      </c>
      <c r="N261" s="87" t="s">
        <v>115</v>
      </c>
    </row>
    <row r="262" spans="2:14" ht="15" customHeight="1">
      <c r="B262" s="23"/>
      <c r="D262" s="140"/>
      <c r="E262" s="143">
        <v>1</v>
      </c>
      <c r="F262" s="2" t="s">
        <v>452</v>
      </c>
      <c r="G262" s="42" t="s">
        <v>27</v>
      </c>
      <c r="H262" s="3">
        <f>DASHBOARD!$D$39</f>
        <v>30</v>
      </c>
      <c r="I262" s="11">
        <f>2.13*(8/7)</f>
        <v>2.4342857142857142</v>
      </c>
      <c r="J262" s="11">
        <v>1</v>
      </c>
      <c r="K262" s="11">
        <f>D256*F256*I262*J262</f>
        <v>0</v>
      </c>
      <c r="L262" s="4">
        <f>H262*I262*J262/DASHBOARD!$D$136</f>
        <v>18.257142857142856</v>
      </c>
      <c r="M262" s="1" t="s">
        <v>49</v>
      </c>
      <c r="N262" s="87" t="s">
        <v>115</v>
      </c>
    </row>
    <row r="263" spans="2:14">
      <c r="B263" s="23"/>
      <c r="D263" s="140"/>
      <c r="F263" s="2" t="s">
        <v>453</v>
      </c>
      <c r="G263" s="66" t="s">
        <v>27</v>
      </c>
      <c r="H263" s="3">
        <f>DASHBOARD!$D$39</f>
        <v>30</v>
      </c>
      <c r="I263" s="11">
        <f>(DASHBOARD!$D$154*100)/60*(8/7)</f>
        <v>3.8095238095238093</v>
      </c>
      <c r="J263" s="11">
        <v>1</v>
      </c>
      <c r="K263" s="11">
        <f>D256*F256*I263*J263</f>
        <v>0</v>
      </c>
      <c r="L263" s="4">
        <f t="shared" ref="L263" si="10">H263*I263*J263</f>
        <v>114.28571428571428</v>
      </c>
      <c r="M263" s="27" t="s">
        <v>77</v>
      </c>
      <c r="N263" s="87" t="s">
        <v>115</v>
      </c>
    </row>
    <row r="264" spans="2:14">
      <c r="B264" s="23"/>
      <c r="D264" s="140"/>
      <c r="G264" s="1" t="s">
        <v>41</v>
      </c>
      <c r="H264" s="3">
        <f>DASHBOARD!$D$57</f>
        <v>3.95</v>
      </c>
      <c r="I264" s="11">
        <v>1</v>
      </c>
      <c r="J264" s="55">
        <f>2*SUM(I261:I263)/8</f>
        <v>3.4657142857238092</v>
      </c>
      <c r="K264" s="55"/>
      <c r="L264" s="4">
        <f>H264*I264*J264/DASHBOARD!$D$136</f>
        <v>3.4223928571522619</v>
      </c>
      <c r="M264" s="1" t="s">
        <v>139</v>
      </c>
      <c r="N264" s="87" t="s">
        <v>117</v>
      </c>
    </row>
    <row r="265" spans="2:14">
      <c r="B265" s="23"/>
      <c r="D265" s="140"/>
      <c r="G265" s="1" t="s">
        <v>9</v>
      </c>
      <c r="H265" s="3">
        <f>DASHBOARD!$D$58</f>
        <v>13.95</v>
      </c>
      <c r="I265" s="11">
        <v>1</v>
      </c>
      <c r="J265" s="55">
        <f>2*SUM(I261:I263)/8</f>
        <v>3.4657142857238092</v>
      </c>
      <c r="K265" s="55"/>
      <c r="L265" s="4">
        <f>H265*I265*J265/DASHBOARD!$D$136</f>
        <v>12.086678571461784</v>
      </c>
      <c r="M265" s="1" t="s">
        <v>139</v>
      </c>
      <c r="N265" s="87" t="s">
        <v>118</v>
      </c>
    </row>
    <row r="266" spans="2:14">
      <c r="B266" s="23"/>
      <c r="D266" s="140"/>
      <c r="G266" s="1" t="s">
        <v>16</v>
      </c>
      <c r="H266" s="3">
        <f>DASHBOARD!$D$59</f>
        <v>0.23960000000000001</v>
      </c>
      <c r="I266" s="11">
        <v>1</v>
      </c>
      <c r="J266" s="55">
        <f>ROUNDUP(I256/8,0)+(ROUNDUP(I261/8,0)+ROUNDUP(I262/8,0)+ROUNDUP(I263/8,0))*(100/DASHBOARD!$D$121)</f>
        <v>7.3829787234042552</v>
      </c>
      <c r="K266" s="55"/>
      <c r="L266" s="4">
        <f>H266*I266*J266/DASHBOARD!$D$136</f>
        <v>0.44224042553191489</v>
      </c>
      <c r="M266" s="1" t="s">
        <v>140</v>
      </c>
      <c r="N266" s="87" t="s">
        <v>119</v>
      </c>
    </row>
    <row r="267" spans="2:14">
      <c r="B267" s="23"/>
      <c r="D267" s="140"/>
      <c r="G267" s="1" t="s">
        <v>10</v>
      </c>
      <c r="H267" s="3">
        <f>DASHBOARD!$D$60</f>
        <v>1.7004999999999999</v>
      </c>
      <c r="I267" s="11">
        <v>1</v>
      </c>
      <c r="J267" s="55">
        <f>2*SUM(I261:I263)/8</f>
        <v>3.4657142857238092</v>
      </c>
      <c r="K267" s="55"/>
      <c r="L267" s="4">
        <f>H267*I267*J267/DASHBOARD!$D$136</f>
        <v>1.4733617857183343</v>
      </c>
      <c r="M267" s="1" t="s">
        <v>139</v>
      </c>
      <c r="N267" s="87" t="s">
        <v>119</v>
      </c>
    </row>
    <row r="268" spans="2:14">
      <c r="B268" s="23"/>
      <c r="D268" s="140"/>
      <c r="G268" s="1" t="s">
        <v>28</v>
      </c>
      <c r="H268" s="3">
        <f>DASHBOARD!$D$75</f>
        <v>12.16</v>
      </c>
      <c r="I268" s="11">
        <v>1</v>
      </c>
      <c r="J268" s="11">
        <v>100</v>
      </c>
      <c r="K268" s="11"/>
      <c r="L268" s="4">
        <f>H268*I268*J268/DASHBOARD!$D$136</f>
        <v>304</v>
      </c>
      <c r="N268" s="87" t="s">
        <v>141</v>
      </c>
    </row>
    <row r="269" spans="2:14">
      <c r="B269" s="23"/>
      <c r="C269" s="3"/>
      <c r="D269" s="140"/>
      <c r="G269" s="1" t="s">
        <v>29</v>
      </c>
      <c r="H269" s="3">
        <f>DASHBOARD!$D$76</f>
        <v>0.72</v>
      </c>
      <c r="I269" s="11">
        <v>1</v>
      </c>
      <c r="J269" s="11">
        <v>100</v>
      </c>
      <c r="K269" s="11"/>
      <c r="L269" s="4">
        <f>H269*I269*J269/DASHBOARD!$D$136</f>
        <v>18</v>
      </c>
      <c r="N269" s="87" t="s">
        <v>142</v>
      </c>
    </row>
    <row r="270" spans="2:14">
      <c r="B270" s="23"/>
      <c r="C270" s="3"/>
      <c r="D270" s="140"/>
      <c r="F270" s="139">
        <f>1-(F228^DASHBOARD!$D$136)</f>
        <v>4.9109300411790402E-3</v>
      </c>
      <c r="G270" s="42" t="s">
        <v>14</v>
      </c>
      <c r="H270" s="3">
        <f>DASHBOARD!$D$35</f>
        <v>24.612000000000002</v>
      </c>
      <c r="I270" s="11">
        <f>DASHBOARD!$D$150*(100/60)*(8/7)</f>
        <v>7.6190476190476186</v>
      </c>
      <c r="J270" s="11">
        <v>1</v>
      </c>
      <c r="K270" s="11">
        <f>D256*F270*I270*J270</f>
        <v>0</v>
      </c>
      <c r="L270" s="4">
        <f>H270*I270*J270/DASHBOARD!$D$136</f>
        <v>46.88</v>
      </c>
      <c r="M270" s="1" t="s">
        <v>50</v>
      </c>
      <c r="N270" s="87" t="s">
        <v>133</v>
      </c>
    </row>
    <row r="271" spans="2:14">
      <c r="B271" s="23"/>
      <c r="C271" s="3"/>
      <c r="D271" s="140"/>
      <c r="F271" s="133" t="s">
        <v>331</v>
      </c>
      <c r="G271" s="42" t="s">
        <v>31</v>
      </c>
      <c r="H271" s="3">
        <f>DASHBOARD!$D$44</f>
        <v>48</v>
      </c>
      <c r="I271" s="11">
        <f>SUM(I275:I277)*(1/100)</f>
        <v>0.19577142857180951</v>
      </c>
      <c r="J271" s="11">
        <v>1</v>
      </c>
      <c r="K271" s="11">
        <f>D256*F270*I271*J271</f>
        <v>0</v>
      </c>
      <c r="L271" s="4">
        <f>H271*I271*J271/DASHBOARD!$D$136</f>
        <v>2.3492571428617142</v>
      </c>
      <c r="M271" s="1" t="s">
        <v>136</v>
      </c>
      <c r="N271" s="87" t="s">
        <v>115</v>
      </c>
    </row>
    <row r="272" spans="2:14">
      <c r="B272" s="23"/>
      <c r="C272" s="3"/>
      <c r="D272" s="140"/>
      <c r="G272" s="42" t="s">
        <v>32</v>
      </c>
      <c r="H272" s="3">
        <f>DASHBOARD!$D$49</f>
        <v>58.847999999999999</v>
      </c>
      <c r="I272" s="11">
        <f>SUM(I275:I277)*(1/10)</f>
        <v>1.9577142857180954</v>
      </c>
      <c r="J272" s="11">
        <v>1</v>
      </c>
      <c r="K272" s="11">
        <f>D256*F270*I272*J272</f>
        <v>0</v>
      </c>
      <c r="L272" s="4">
        <f>H272*I272*J272/DASHBOARD!$D$136</f>
        <v>28.801892571484618</v>
      </c>
      <c r="M272" s="1" t="s">
        <v>137</v>
      </c>
      <c r="N272" s="87" t="s">
        <v>134</v>
      </c>
    </row>
    <row r="273" spans="2:14">
      <c r="B273" s="23"/>
      <c r="D273" s="140"/>
      <c r="G273" s="42" t="s">
        <v>33</v>
      </c>
      <c r="H273" s="3">
        <f>DASHBOARD!$D$50</f>
        <v>39</v>
      </c>
      <c r="I273" s="11">
        <f>SUM(I275:I277)*(1/33)</f>
        <v>0.59324675324790765</v>
      </c>
      <c r="J273" s="11">
        <v>1</v>
      </c>
      <c r="K273" s="11">
        <f>D256*F270*I273*J273</f>
        <v>0</v>
      </c>
      <c r="L273" s="4">
        <f>H273*I273*J273/DASHBOARD!$D$136</f>
        <v>5.7841558441670999</v>
      </c>
      <c r="M273" s="1" t="s">
        <v>138</v>
      </c>
      <c r="N273" s="87" t="s">
        <v>115</v>
      </c>
    </row>
    <row r="274" spans="2:14">
      <c r="B274" s="23"/>
      <c r="D274" s="140"/>
      <c r="G274" s="42" t="s">
        <v>34</v>
      </c>
      <c r="H274" s="3">
        <f>DASHBOARD!$D$51</f>
        <v>43.199999999999996</v>
      </c>
      <c r="I274" s="11">
        <f>SUM(I275:I277)*(1/100)</f>
        <v>0.19577142857180951</v>
      </c>
      <c r="J274" s="11">
        <v>1</v>
      </c>
      <c r="K274" s="11">
        <f>D256*F270*I274*J274</f>
        <v>0</v>
      </c>
      <c r="L274" s="4">
        <f>H274*I274*J274/DASHBOARD!$D$136</f>
        <v>2.1143314285755426</v>
      </c>
      <c r="M274" s="1" t="s">
        <v>136</v>
      </c>
      <c r="N274" s="87" t="s">
        <v>135</v>
      </c>
    </row>
    <row r="275" spans="2:14">
      <c r="B275" s="23"/>
      <c r="D275" s="140"/>
      <c r="F275" s="2" t="s">
        <v>451</v>
      </c>
      <c r="G275" s="42" t="s">
        <v>27</v>
      </c>
      <c r="H275" s="3">
        <f>DASHBOARD!$D$39</f>
        <v>30</v>
      </c>
      <c r="I275" s="11">
        <f>6.6666666667*(8/7)</f>
        <v>7.6190476190857144</v>
      </c>
      <c r="J275" s="11">
        <v>1</v>
      </c>
      <c r="K275" s="11">
        <f>D256*F270*I275*J275</f>
        <v>0</v>
      </c>
      <c r="L275" s="4">
        <f>H275*I275*J275/DASHBOARD!$D$136</f>
        <v>57.142857143142855</v>
      </c>
      <c r="M275" s="1" t="s">
        <v>342</v>
      </c>
      <c r="N275" s="87" t="s">
        <v>115</v>
      </c>
    </row>
    <row r="276" spans="2:14">
      <c r="B276" s="23"/>
      <c r="D276" s="140"/>
      <c r="F276" s="2" t="s">
        <v>452</v>
      </c>
      <c r="G276" s="42" t="s">
        <v>27</v>
      </c>
      <c r="H276" s="3">
        <f>DASHBOARD!$D$39</f>
        <v>30</v>
      </c>
      <c r="I276" s="11">
        <f>2.13*(8/7)</f>
        <v>2.4342857142857142</v>
      </c>
      <c r="J276" s="11">
        <v>1</v>
      </c>
      <c r="K276" s="11">
        <f>D256*F270*I276*J276</f>
        <v>0</v>
      </c>
      <c r="L276" s="4">
        <f>H276*I276*J276/DASHBOARD!$D$136</f>
        <v>18.257142857142856</v>
      </c>
      <c r="M276" s="1" t="s">
        <v>49</v>
      </c>
      <c r="N276" s="87" t="s">
        <v>115</v>
      </c>
    </row>
    <row r="277" spans="2:14">
      <c r="B277" s="23"/>
      <c r="D277" s="140"/>
      <c r="F277" s="2" t="s">
        <v>453</v>
      </c>
      <c r="G277" s="66" t="s">
        <v>27</v>
      </c>
      <c r="H277" s="3">
        <f>DASHBOARD!$D$39</f>
        <v>30</v>
      </c>
      <c r="I277" s="11">
        <f>(DASHBOARD!$D$153*100)/60*(8/7)</f>
        <v>9.5238095238095237</v>
      </c>
      <c r="J277" s="11">
        <v>1</v>
      </c>
      <c r="K277" s="11">
        <f>D256*F270*I277*J277</f>
        <v>0</v>
      </c>
      <c r="L277" s="4">
        <f>H277*I277*J277*0</f>
        <v>0</v>
      </c>
      <c r="M277" s="27" t="s">
        <v>345</v>
      </c>
      <c r="N277" s="87" t="s">
        <v>115</v>
      </c>
    </row>
    <row r="278" spans="2:14">
      <c r="B278" s="23"/>
      <c r="D278" s="140"/>
      <c r="G278" s="1" t="s">
        <v>41</v>
      </c>
      <c r="H278" s="3">
        <f>DASHBOARD!$D$57</f>
        <v>3.95</v>
      </c>
      <c r="I278" s="11">
        <v>1</v>
      </c>
      <c r="J278" s="55">
        <f>2*SUM(I275:I277)/8</f>
        <v>4.8942857142952381</v>
      </c>
      <c r="K278" s="55"/>
      <c r="L278" s="4">
        <f>H278*I278*J278/DASHBOARD!$D$136</f>
        <v>4.833107142866548</v>
      </c>
      <c r="M278" s="1" t="s">
        <v>139</v>
      </c>
      <c r="N278" s="87" t="s">
        <v>117</v>
      </c>
    </row>
    <row r="279" spans="2:14">
      <c r="B279" s="23"/>
      <c r="D279" s="140"/>
      <c r="G279" s="1" t="s">
        <v>9</v>
      </c>
      <c r="H279" s="3">
        <f>DASHBOARD!$D$58</f>
        <v>13.95</v>
      </c>
      <c r="I279" s="11">
        <v>1</v>
      </c>
      <c r="J279" s="55">
        <f>2*SUM(I275:I277)/8</f>
        <v>4.8942857142952381</v>
      </c>
      <c r="K279" s="55"/>
      <c r="L279" s="4">
        <f>H279*I279*J279/DASHBOARD!$D$136</f>
        <v>17.068821428604643</v>
      </c>
      <c r="M279" s="1" t="s">
        <v>139</v>
      </c>
      <c r="N279" s="87" t="s">
        <v>118</v>
      </c>
    </row>
    <row r="280" spans="2:14">
      <c r="B280" s="23"/>
      <c r="D280" s="140"/>
      <c r="G280" s="1" t="s">
        <v>16</v>
      </c>
      <c r="H280" s="3">
        <f>DASHBOARD!$D$59</f>
        <v>0.23960000000000001</v>
      </c>
      <c r="I280" s="11">
        <v>1</v>
      </c>
      <c r="J280" s="55">
        <f>ROUNDUP(I270/8,0)+(ROUNDUP(I275/8,0)+ROUNDUP(I276/8,0)+ROUNDUP(I277/8,0))*(100/DASHBOARD!$D$121)</f>
        <v>9.5106382978723403</v>
      </c>
      <c r="K280" s="55"/>
      <c r="L280" s="4">
        <f>H280*I280*J280/DASHBOARD!$D$136</f>
        <v>0.56968723404255317</v>
      </c>
      <c r="M280" s="1" t="s">
        <v>140</v>
      </c>
      <c r="N280" s="87" t="s">
        <v>119</v>
      </c>
    </row>
    <row r="281" spans="2:14">
      <c r="B281" s="23"/>
      <c r="D281" s="140"/>
      <c r="G281" s="1" t="s">
        <v>10</v>
      </c>
      <c r="H281" s="3">
        <f>DASHBOARD!$D$60</f>
        <v>1.7004999999999999</v>
      </c>
      <c r="I281" s="11">
        <v>1</v>
      </c>
      <c r="J281" s="55">
        <f>2*SUM(I275:I277)/8</f>
        <v>4.8942857142952381</v>
      </c>
      <c r="K281" s="55"/>
      <c r="L281" s="4">
        <f>H281*I281*J281/DASHBOARD!$D$136</f>
        <v>2.0806832142897629</v>
      </c>
      <c r="M281" s="1" t="s">
        <v>139</v>
      </c>
      <c r="N281" s="87" t="s">
        <v>119</v>
      </c>
    </row>
    <row r="282" spans="2:14">
      <c r="B282" s="23"/>
      <c r="D282" s="140"/>
      <c r="G282" s="1" t="s">
        <v>28</v>
      </c>
      <c r="H282" s="3">
        <f>DASHBOARD!$D$75</f>
        <v>12.16</v>
      </c>
      <c r="I282" s="11">
        <v>1</v>
      </c>
      <c r="J282" s="11">
        <v>100</v>
      </c>
      <c r="K282" s="11"/>
      <c r="L282" s="4">
        <f>H282*I282*J282/DASHBOARD!$D$136</f>
        <v>304</v>
      </c>
      <c r="N282" s="87" t="s">
        <v>141</v>
      </c>
    </row>
    <row r="283" spans="2:14" ht="16.350000000000001" customHeight="1">
      <c r="B283" s="23"/>
      <c r="D283" s="140"/>
      <c r="G283" s="1" t="s">
        <v>29</v>
      </c>
      <c r="H283" s="3">
        <f>DASHBOARD!$D$76</f>
        <v>0.72</v>
      </c>
      <c r="I283" s="11">
        <v>1</v>
      </c>
      <c r="J283" s="11">
        <v>100</v>
      </c>
      <c r="K283" s="11"/>
      <c r="L283" s="4">
        <f>H283*I283*J283/DASHBOARD!$D$136</f>
        <v>18</v>
      </c>
      <c r="N283" s="87" t="s">
        <v>142</v>
      </c>
    </row>
    <row r="284" spans="2:14" ht="16.350000000000001" customHeight="1">
      <c r="B284" s="23"/>
      <c r="D284" s="140"/>
      <c r="E284" s="21" t="s">
        <v>338</v>
      </c>
      <c r="F284" s="139">
        <f>1-F298</f>
        <v>0.74953827692794917</v>
      </c>
      <c r="G284" s="42" t="s">
        <v>14</v>
      </c>
      <c r="H284" s="3">
        <f>DASHBOARD!$D$35</f>
        <v>24.612000000000002</v>
      </c>
      <c r="I284" s="11">
        <f>DASHBOARD!$D$150*(100/60)*(8/7)</f>
        <v>7.6190476190476186</v>
      </c>
      <c r="J284" s="11">
        <v>1</v>
      </c>
      <c r="K284" s="11">
        <f>D256*E290*F284*I284*J284</f>
        <v>0</v>
      </c>
      <c r="L284" s="4">
        <f>H284*I284*J284</f>
        <v>187.52</v>
      </c>
      <c r="M284" s="1" t="s">
        <v>50</v>
      </c>
      <c r="N284" s="87" t="s">
        <v>133</v>
      </c>
    </row>
    <row r="285" spans="2:14" ht="16.350000000000001" customHeight="1">
      <c r="B285" s="23"/>
      <c r="D285" s="140"/>
      <c r="E285" s="21" t="s">
        <v>334</v>
      </c>
      <c r="F285" s="133" t="s">
        <v>332</v>
      </c>
      <c r="G285" s="42" t="s">
        <v>31</v>
      </c>
      <c r="H285" s="3">
        <f>DASHBOARD!$D$44</f>
        <v>48</v>
      </c>
      <c r="I285" s="11">
        <f>SUM(I289:I291)*(1/100)</f>
        <v>0.11958095238095236</v>
      </c>
      <c r="J285" s="11">
        <v>1</v>
      </c>
      <c r="K285" s="11">
        <f>D256*E290*F284*I285*J285</f>
        <v>0</v>
      </c>
      <c r="L285" s="4">
        <f>H285*I285*J285</f>
        <v>5.7398857142857134</v>
      </c>
      <c r="M285" s="1" t="s">
        <v>136</v>
      </c>
      <c r="N285" s="87" t="s">
        <v>115</v>
      </c>
    </row>
    <row r="286" spans="2:14" ht="16.350000000000001" customHeight="1">
      <c r="B286" s="23"/>
      <c r="D286" s="140"/>
      <c r="E286" s="137" t="s">
        <v>339</v>
      </c>
      <c r="G286" s="42" t="s">
        <v>32</v>
      </c>
      <c r="H286" s="3">
        <f>DASHBOARD!$D$49</f>
        <v>58.847999999999999</v>
      </c>
      <c r="I286" s="11">
        <f>SUM(I289:I291)*(1/10)</f>
        <v>1.1958095238095237</v>
      </c>
      <c r="J286" s="11">
        <v>1</v>
      </c>
      <c r="K286" s="11">
        <f>D256*E290*F284*I286*J286</f>
        <v>0</v>
      </c>
      <c r="L286" s="4">
        <f>H286*I286*J286</f>
        <v>70.370998857142851</v>
      </c>
      <c r="M286" s="1" t="s">
        <v>137</v>
      </c>
      <c r="N286" s="87" t="s">
        <v>134</v>
      </c>
    </row>
    <row r="287" spans="2:14" ht="16.350000000000001" customHeight="1">
      <c r="B287" s="23"/>
      <c r="D287" s="140"/>
      <c r="E287" s="137" t="s">
        <v>340</v>
      </c>
      <c r="G287" s="42" t="s">
        <v>33</v>
      </c>
      <c r="H287" s="3">
        <f>DASHBOARD!$D$50</f>
        <v>39</v>
      </c>
      <c r="I287" s="11">
        <f>SUM(I289:I291)*(1/33)</f>
        <v>0.36236652236652234</v>
      </c>
      <c r="J287" s="11">
        <v>1</v>
      </c>
      <c r="K287" s="11">
        <f>D256*E290*F284*I287*J287</f>
        <v>0</v>
      </c>
      <c r="L287" s="4">
        <f>H287*I287*J287</f>
        <v>14.132294372294371</v>
      </c>
      <c r="M287" s="1" t="s">
        <v>138</v>
      </c>
      <c r="N287" s="87" t="s">
        <v>115</v>
      </c>
    </row>
    <row r="288" spans="2:14" ht="16.350000000000001" customHeight="1">
      <c r="B288" s="23"/>
      <c r="D288" s="140"/>
      <c r="E288" s="137" t="s">
        <v>336</v>
      </c>
      <c r="G288" s="42" t="s">
        <v>34</v>
      </c>
      <c r="H288" s="3">
        <f>DASHBOARD!$D$51</f>
        <v>43.199999999999996</v>
      </c>
      <c r="I288" s="11">
        <f>SUM(I289:I291)*(1/100)</f>
        <v>0.11958095238095236</v>
      </c>
      <c r="J288" s="11">
        <v>1</v>
      </c>
      <c r="K288" s="11">
        <f>D256*E290*F284*I288*J288</f>
        <v>0</v>
      </c>
      <c r="L288" s="4">
        <f>H288*I288*J288</f>
        <v>5.1658971428571414</v>
      </c>
      <c r="M288" s="1" t="s">
        <v>136</v>
      </c>
      <c r="N288" s="87" t="s">
        <v>135</v>
      </c>
    </row>
    <row r="289" spans="2:14" ht="16.350000000000001" customHeight="1">
      <c r="B289" s="23"/>
      <c r="D289" s="140"/>
      <c r="E289" s="138" t="s">
        <v>341</v>
      </c>
      <c r="F289" s="2" t="s">
        <v>451</v>
      </c>
      <c r="G289" s="42" t="s">
        <v>27</v>
      </c>
      <c r="H289" s="3">
        <f>DASHBOARD!$D$39</f>
        <v>30</v>
      </c>
      <c r="I289" s="11">
        <f>5*(8/7)</f>
        <v>5.7142857142857135</v>
      </c>
      <c r="J289" s="11">
        <v>1</v>
      </c>
      <c r="K289" s="11">
        <f>D256*E290*F284*I289*J289</f>
        <v>0</v>
      </c>
      <c r="L289" s="4">
        <f t="shared" ref="L289:L311" si="11">H289*I289*J289</f>
        <v>171.42857142857142</v>
      </c>
      <c r="M289" s="1" t="s">
        <v>48</v>
      </c>
      <c r="N289" s="87" t="s">
        <v>115</v>
      </c>
    </row>
    <row r="290" spans="2:14" ht="16.350000000000001" customHeight="1">
      <c r="B290" s="23"/>
      <c r="D290" s="140"/>
      <c r="E290" s="142">
        <f>F270</f>
        <v>4.9109300411790402E-3</v>
      </c>
      <c r="F290" s="2" t="s">
        <v>452</v>
      </c>
      <c r="G290" s="42" t="s">
        <v>27</v>
      </c>
      <c r="H290" s="3">
        <f>DASHBOARD!$D$39</f>
        <v>30</v>
      </c>
      <c r="I290" s="11">
        <f>2.13*(8/7)</f>
        <v>2.4342857142857142</v>
      </c>
      <c r="J290" s="11">
        <v>1</v>
      </c>
      <c r="K290" s="11">
        <f>D256*E290*F284*I290*J290</f>
        <v>0</v>
      </c>
      <c r="L290" s="4">
        <f t="shared" si="11"/>
        <v>73.028571428571425</v>
      </c>
      <c r="M290" s="1" t="s">
        <v>49</v>
      </c>
      <c r="N290" s="87" t="s">
        <v>115</v>
      </c>
    </row>
    <row r="291" spans="2:14" ht="16.350000000000001" customHeight="1">
      <c r="B291" s="23"/>
      <c r="D291" s="140"/>
      <c r="E291" s="137"/>
      <c r="F291" s="2" t="s">
        <v>453</v>
      </c>
      <c r="G291" s="66" t="s">
        <v>27</v>
      </c>
      <c r="H291" s="3">
        <f>DASHBOARD!$D$39</f>
        <v>30</v>
      </c>
      <c r="I291" s="11">
        <f>(DASHBOARD!$D$154*100)/60*(8/7)</f>
        <v>3.8095238095238093</v>
      </c>
      <c r="J291" s="11">
        <v>1</v>
      </c>
      <c r="K291" s="11">
        <f>D256*E290*F284*I291*J291</f>
        <v>0</v>
      </c>
      <c r="L291" s="4">
        <f t="shared" si="11"/>
        <v>114.28571428571428</v>
      </c>
      <c r="M291" s="27" t="s">
        <v>77</v>
      </c>
      <c r="N291" s="87" t="s">
        <v>115</v>
      </c>
    </row>
    <row r="292" spans="2:14" ht="16.350000000000001" customHeight="1">
      <c r="B292" s="23"/>
      <c r="D292" s="140"/>
      <c r="G292" s="1" t="s">
        <v>41</v>
      </c>
      <c r="H292" s="3">
        <f>DASHBOARD!$D$57</f>
        <v>3.95</v>
      </c>
      <c r="I292" s="11">
        <v>1</v>
      </c>
      <c r="J292" s="55">
        <f>2*SUM(I289:I291)/8</f>
        <v>2.989523809523809</v>
      </c>
      <c r="K292" s="55"/>
      <c r="L292" s="4">
        <f t="shared" si="11"/>
        <v>11.808619047619047</v>
      </c>
      <c r="M292" s="1" t="s">
        <v>139</v>
      </c>
      <c r="N292" s="87" t="s">
        <v>117</v>
      </c>
    </row>
    <row r="293" spans="2:14" ht="16.350000000000001" customHeight="1">
      <c r="B293" s="23"/>
      <c r="D293" s="140"/>
      <c r="G293" s="1" t="s">
        <v>9</v>
      </c>
      <c r="H293" s="3">
        <f>DASHBOARD!$D$58</f>
        <v>13.95</v>
      </c>
      <c r="I293" s="11">
        <v>1</v>
      </c>
      <c r="J293" s="55">
        <f>2*SUM(I289:I291)/8</f>
        <v>2.989523809523809</v>
      </c>
      <c r="K293" s="55"/>
      <c r="L293" s="4">
        <f t="shared" si="11"/>
        <v>41.703857142857132</v>
      </c>
      <c r="M293" s="1" t="s">
        <v>139</v>
      </c>
      <c r="N293" s="87" t="s">
        <v>118</v>
      </c>
    </row>
    <row r="294" spans="2:14" ht="16.350000000000001" customHeight="1">
      <c r="B294" s="23"/>
      <c r="D294" s="140"/>
      <c r="G294" s="1" t="s">
        <v>16</v>
      </c>
      <c r="H294" s="3">
        <f>DASHBOARD!$D$59</f>
        <v>0.23960000000000001</v>
      </c>
      <c r="I294" s="11">
        <v>1</v>
      </c>
      <c r="J294" s="55">
        <f>ROUNDUP(I284/8,0)+(ROUNDUP(I289/8,0)+ROUNDUP(I290/8,0)+ROUNDUP(I291/8,0))*(100/DASHBOARD!$D$121)</f>
        <v>7.3829787234042552</v>
      </c>
      <c r="K294" s="55"/>
      <c r="L294" s="4">
        <f t="shared" si="11"/>
        <v>1.7689617021276596</v>
      </c>
      <c r="M294" s="1" t="s">
        <v>140</v>
      </c>
      <c r="N294" s="87" t="s">
        <v>119</v>
      </c>
    </row>
    <row r="295" spans="2:14" ht="16.350000000000001" customHeight="1">
      <c r="B295" s="23"/>
      <c r="D295" s="140"/>
      <c r="G295" s="1" t="s">
        <v>10</v>
      </c>
      <c r="H295" s="3">
        <f>DASHBOARD!$D$60</f>
        <v>1.7004999999999999</v>
      </c>
      <c r="I295" s="11">
        <v>1</v>
      </c>
      <c r="J295" s="55">
        <f>2*SUM(I289:I291)/8</f>
        <v>2.989523809523809</v>
      </c>
      <c r="K295" s="55"/>
      <c r="L295" s="4">
        <f t="shared" si="11"/>
        <v>5.0836852380952369</v>
      </c>
      <c r="M295" s="1" t="s">
        <v>139</v>
      </c>
      <c r="N295" s="87" t="s">
        <v>119</v>
      </c>
    </row>
    <row r="296" spans="2:14" ht="16.350000000000001" customHeight="1">
      <c r="B296" s="23"/>
      <c r="D296" s="140"/>
      <c r="G296" s="1" t="s">
        <v>28</v>
      </c>
      <c r="H296" s="3">
        <f>DASHBOARD!$D$75</f>
        <v>12.16</v>
      </c>
      <c r="I296" s="11">
        <v>1</v>
      </c>
      <c r="J296" s="11">
        <v>100</v>
      </c>
      <c r="K296" s="11"/>
      <c r="L296" s="4">
        <f t="shared" si="11"/>
        <v>1216</v>
      </c>
      <c r="N296" s="87" t="s">
        <v>141</v>
      </c>
    </row>
    <row r="297" spans="2:14" ht="16.350000000000001" customHeight="1">
      <c r="B297" s="23"/>
      <c r="D297" s="140"/>
      <c r="G297" s="1" t="s">
        <v>29</v>
      </c>
      <c r="H297" s="3">
        <f>DASHBOARD!$D$76</f>
        <v>0.72</v>
      </c>
      <c r="I297" s="11">
        <v>1</v>
      </c>
      <c r="J297" s="11">
        <v>100</v>
      </c>
      <c r="K297" s="11"/>
      <c r="L297" s="4">
        <f t="shared" si="11"/>
        <v>72</v>
      </c>
      <c r="N297" s="87" t="s">
        <v>142</v>
      </c>
    </row>
    <row r="298" spans="2:14" ht="16.350000000000001" customHeight="1">
      <c r="B298" s="23"/>
      <c r="D298" s="140"/>
      <c r="F298" s="139">
        <f>DASHBOARD!$D$101/E290</f>
        <v>0.25046172307205083</v>
      </c>
      <c r="G298" s="42" t="s">
        <v>14</v>
      </c>
      <c r="H298" s="3">
        <f>DASHBOARD!$D$35</f>
        <v>24.612000000000002</v>
      </c>
      <c r="I298" s="11">
        <f>DASHBOARD!$D$150*(100/60)*(8/7)</f>
        <v>7.6190476190476186</v>
      </c>
      <c r="J298" s="11">
        <v>1</v>
      </c>
      <c r="K298" s="11">
        <f>D256*E290*F298*I298*J298</f>
        <v>0</v>
      </c>
      <c r="L298" s="4">
        <f t="shared" si="11"/>
        <v>187.52</v>
      </c>
      <c r="M298" s="1" t="s">
        <v>50</v>
      </c>
      <c r="N298" s="87" t="s">
        <v>133</v>
      </c>
    </row>
    <row r="299" spans="2:14" ht="16.350000000000001" customHeight="1">
      <c r="B299" s="23"/>
      <c r="D299" s="140"/>
      <c r="F299" s="133" t="s">
        <v>331</v>
      </c>
      <c r="G299" s="42" t="s">
        <v>31</v>
      </c>
      <c r="H299" s="3">
        <f>DASHBOARD!$D$44</f>
        <v>48</v>
      </c>
      <c r="I299" s="11">
        <f>SUM(I303:I305)*(1/100)</f>
        <v>0.17672380952380951</v>
      </c>
      <c r="J299" s="11">
        <v>1</v>
      </c>
      <c r="K299" s="11">
        <f>D256*E290*F298*I299*J299</f>
        <v>0</v>
      </c>
      <c r="L299" s="4">
        <f t="shared" si="11"/>
        <v>8.4827428571428563</v>
      </c>
      <c r="M299" s="1" t="s">
        <v>136</v>
      </c>
      <c r="N299" s="87" t="s">
        <v>115</v>
      </c>
    </row>
    <row r="300" spans="2:14" ht="16.350000000000001" customHeight="1">
      <c r="B300" s="23"/>
      <c r="D300" s="140"/>
      <c r="G300" s="42" t="s">
        <v>32</v>
      </c>
      <c r="H300" s="3">
        <f>DASHBOARD!$D$49</f>
        <v>58.847999999999999</v>
      </c>
      <c r="I300" s="11">
        <f>SUM(I303:I305)*(1/10)</f>
        <v>1.7672380952380953</v>
      </c>
      <c r="J300" s="11">
        <v>1</v>
      </c>
      <c r="K300" s="11">
        <f>D256*E290*F298*I300*J300</f>
        <v>0</v>
      </c>
      <c r="L300" s="4">
        <f t="shared" si="11"/>
        <v>103.99842742857143</v>
      </c>
      <c r="M300" s="1" t="s">
        <v>137</v>
      </c>
      <c r="N300" s="87" t="s">
        <v>134</v>
      </c>
    </row>
    <row r="301" spans="2:14" ht="16.350000000000001" customHeight="1">
      <c r="B301" s="23"/>
      <c r="D301" s="140"/>
      <c r="G301" s="42" t="s">
        <v>33</v>
      </c>
      <c r="H301" s="3">
        <f>DASHBOARD!$D$50</f>
        <v>39</v>
      </c>
      <c r="I301" s="11">
        <f>SUM(I303:I305)*(1/33)</f>
        <v>0.53552669552669552</v>
      </c>
      <c r="J301" s="11">
        <v>1</v>
      </c>
      <c r="K301" s="11">
        <f>D256*E290*F298*I301*J301</f>
        <v>0</v>
      </c>
      <c r="L301" s="4">
        <f t="shared" si="11"/>
        <v>20.885541125541124</v>
      </c>
      <c r="M301" s="1" t="s">
        <v>138</v>
      </c>
      <c r="N301" s="87" t="s">
        <v>115</v>
      </c>
    </row>
    <row r="302" spans="2:14" ht="16.350000000000001" customHeight="1">
      <c r="B302" s="23"/>
      <c r="D302" s="140"/>
      <c r="G302" s="42" t="s">
        <v>34</v>
      </c>
      <c r="H302" s="3">
        <f>DASHBOARD!$D$51</f>
        <v>43.199999999999996</v>
      </c>
      <c r="I302" s="11">
        <f>SUM(I303:I305)*(1/100)</f>
        <v>0.17672380952380951</v>
      </c>
      <c r="J302" s="11">
        <v>1</v>
      </c>
      <c r="K302" s="11">
        <f>D256*E290*F298*I302*J302</f>
        <v>0</v>
      </c>
      <c r="L302" s="4">
        <f t="shared" si="11"/>
        <v>7.6344685714285703</v>
      </c>
      <c r="M302" s="1" t="s">
        <v>136</v>
      </c>
      <c r="N302" s="87" t="s">
        <v>135</v>
      </c>
    </row>
    <row r="303" spans="2:14" ht="16.350000000000001" customHeight="1">
      <c r="B303" s="23"/>
      <c r="D303" s="140"/>
      <c r="F303" s="2" t="s">
        <v>451</v>
      </c>
      <c r="G303" s="42" t="s">
        <v>27</v>
      </c>
      <c r="H303" s="3">
        <f>DASHBOARD!$D$39</f>
        <v>30</v>
      </c>
      <c r="I303" s="11">
        <f>5*(8/7)</f>
        <v>5.7142857142857135</v>
      </c>
      <c r="J303" s="11">
        <v>1</v>
      </c>
      <c r="K303" s="11">
        <f>D256*E290*F298*I303*J303</f>
        <v>0</v>
      </c>
      <c r="L303" s="4">
        <f t="shared" si="11"/>
        <v>171.42857142857142</v>
      </c>
      <c r="M303" s="1" t="s">
        <v>48</v>
      </c>
      <c r="N303" s="87" t="s">
        <v>115</v>
      </c>
    </row>
    <row r="304" spans="2:14" ht="16.350000000000001" customHeight="1">
      <c r="B304" s="23"/>
      <c r="D304" s="140"/>
      <c r="F304" s="2" t="s">
        <v>452</v>
      </c>
      <c r="G304" s="42" t="s">
        <v>27</v>
      </c>
      <c r="H304" s="3">
        <f>DASHBOARD!$D$39</f>
        <v>30</v>
      </c>
      <c r="I304" s="11">
        <f>2.13*(8/7)</f>
        <v>2.4342857142857142</v>
      </c>
      <c r="J304" s="11">
        <v>1</v>
      </c>
      <c r="K304" s="11">
        <f>D256*E290*F298*I304*J304</f>
        <v>0</v>
      </c>
      <c r="L304" s="4">
        <f t="shared" si="11"/>
        <v>73.028571428571425</v>
      </c>
      <c r="M304" s="1" t="s">
        <v>49</v>
      </c>
      <c r="N304" s="87" t="s">
        <v>115</v>
      </c>
    </row>
    <row r="305" spans="2:14" ht="16.350000000000001" customHeight="1">
      <c r="B305" s="23"/>
      <c r="D305" s="140"/>
      <c r="F305" s="2" t="s">
        <v>453</v>
      </c>
      <c r="G305" s="66" t="s">
        <v>27</v>
      </c>
      <c r="H305" s="3">
        <f>DASHBOARD!$D$39</f>
        <v>30</v>
      </c>
      <c r="I305" s="11">
        <f>(DASHBOARD!$D$153*100)/60*(8/7)</f>
        <v>9.5238095238095237</v>
      </c>
      <c r="J305" s="11">
        <v>1</v>
      </c>
      <c r="K305" s="11">
        <f>D256*E290*F298*I305*J305</f>
        <v>0</v>
      </c>
      <c r="L305" s="4">
        <f t="shared" si="11"/>
        <v>285.71428571428572</v>
      </c>
      <c r="M305" s="27" t="s">
        <v>171</v>
      </c>
      <c r="N305" s="87" t="s">
        <v>115</v>
      </c>
    </row>
    <row r="306" spans="2:14" ht="16.350000000000001" customHeight="1">
      <c r="B306" s="23"/>
      <c r="D306" s="140"/>
      <c r="G306" s="1" t="s">
        <v>41</v>
      </c>
      <c r="H306" s="3">
        <f>DASHBOARD!$D$57</f>
        <v>3.95</v>
      </c>
      <c r="I306" s="11">
        <v>1</v>
      </c>
      <c r="J306" s="55">
        <f>2*SUM(I303:I305)/8</f>
        <v>4.4180952380952379</v>
      </c>
      <c r="K306" s="55"/>
      <c r="L306" s="4">
        <f t="shared" si="11"/>
        <v>17.451476190476189</v>
      </c>
      <c r="M306" s="1" t="s">
        <v>139</v>
      </c>
      <c r="N306" s="87" t="s">
        <v>117</v>
      </c>
    </row>
    <row r="307" spans="2:14" ht="16.350000000000001" customHeight="1">
      <c r="B307" s="23"/>
      <c r="D307" s="140"/>
      <c r="G307" s="1" t="s">
        <v>9</v>
      </c>
      <c r="H307" s="3">
        <f>DASHBOARD!$D$58</f>
        <v>13.95</v>
      </c>
      <c r="I307" s="11">
        <v>1</v>
      </c>
      <c r="J307" s="55">
        <f>2*SUM(I303:I305)/8</f>
        <v>4.4180952380952379</v>
      </c>
      <c r="K307" s="55"/>
      <c r="L307" s="4">
        <f t="shared" si="11"/>
        <v>61.632428571428562</v>
      </c>
      <c r="M307" s="1" t="s">
        <v>139</v>
      </c>
      <c r="N307" s="87" t="s">
        <v>118</v>
      </c>
    </row>
    <row r="308" spans="2:14" ht="16.350000000000001" customHeight="1">
      <c r="B308" s="23"/>
      <c r="D308" s="140"/>
      <c r="G308" s="1" t="s">
        <v>16</v>
      </c>
      <c r="H308" s="3">
        <f>DASHBOARD!$D$59</f>
        <v>0.23960000000000001</v>
      </c>
      <c r="I308" s="11">
        <v>1</v>
      </c>
      <c r="J308" s="55">
        <f>ROUNDUP(I298/8,0)+(ROUNDUP(I303/8,0)+ROUNDUP(I304/8,0)+ROUNDUP(I305/8,0))*(100/DASHBOARD!$D$121)</f>
        <v>9.5106382978723403</v>
      </c>
      <c r="K308" s="55"/>
      <c r="L308" s="4">
        <f t="shared" si="11"/>
        <v>2.2787489361702127</v>
      </c>
      <c r="M308" s="1" t="s">
        <v>140</v>
      </c>
      <c r="N308" s="87" t="s">
        <v>119</v>
      </c>
    </row>
    <row r="309" spans="2:14" ht="16.350000000000001" customHeight="1">
      <c r="B309" s="23"/>
      <c r="D309" s="140"/>
      <c r="G309" s="1" t="s">
        <v>10</v>
      </c>
      <c r="H309" s="3">
        <f>DASHBOARD!$D$60</f>
        <v>1.7004999999999999</v>
      </c>
      <c r="I309" s="11">
        <v>1</v>
      </c>
      <c r="J309" s="55">
        <f>2*SUM(I303:I305)/8</f>
        <v>4.4180952380952379</v>
      </c>
      <c r="K309" s="55"/>
      <c r="L309" s="4">
        <f t="shared" si="11"/>
        <v>7.5129709523809511</v>
      </c>
      <c r="M309" s="1" t="s">
        <v>139</v>
      </c>
      <c r="N309" s="87" t="s">
        <v>119</v>
      </c>
    </row>
    <row r="310" spans="2:14" ht="16.350000000000001" customHeight="1">
      <c r="B310" s="23"/>
      <c r="D310" s="140"/>
      <c r="G310" s="1" t="s">
        <v>28</v>
      </c>
      <c r="H310" s="3">
        <f>DASHBOARD!$D$75</f>
        <v>12.16</v>
      </c>
      <c r="I310" s="11">
        <v>1</v>
      </c>
      <c r="J310" s="11">
        <v>100</v>
      </c>
      <c r="K310" s="11"/>
      <c r="L310" s="4">
        <f t="shared" si="11"/>
        <v>1216</v>
      </c>
      <c r="N310" s="87" t="s">
        <v>141</v>
      </c>
    </row>
    <row r="311" spans="2:14" ht="16.350000000000001" customHeight="1">
      <c r="B311" s="23"/>
      <c r="D311" s="140"/>
      <c r="G311" s="1" t="s">
        <v>29</v>
      </c>
      <c r="H311" s="3">
        <f>DASHBOARD!$D$76</f>
        <v>0.72</v>
      </c>
      <c r="I311" s="11">
        <v>1</v>
      </c>
      <c r="J311" s="11">
        <v>100</v>
      </c>
      <c r="K311" s="11"/>
      <c r="L311" s="4">
        <f t="shared" si="11"/>
        <v>72</v>
      </c>
      <c r="N311" s="87" t="s">
        <v>142</v>
      </c>
    </row>
    <row r="312" spans="2:14" ht="21" customHeight="1">
      <c r="B312" s="23"/>
      <c r="C312" s="26">
        <f>C256</f>
        <v>86446</v>
      </c>
      <c r="D312" s="244">
        <f>DASHBOARD!$D$112*DASHBOARD!$D$139</f>
        <v>0</v>
      </c>
      <c r="E312" s="21" t="s">
        <v>413</v>
      </c>
      <c r="F312" s="2">
        <v>1</v>
      </c>
      <c r="G312" s="42" t="s">
        <v>14</v>
      </c>
      <c r="H312" s="3">
        <f>DASHBOARD!$D$35</f>
        <v>24.612000000000002</v>
      </c>
      <c r="I312" s="11">
        <f>DASHBOARD!$D$150*(100/60)*(8/7)</f>
        <v>7.6190476190476186</v>
      </c>
      <c r="J312" s="11">
        <v>1</v>
      </c>
      <c r="K312" s="11">
        <f>D312*I312*J312</f>
        <v>0</v>
      </c>
      <c r="L312" s="4">
        <f>H312*I312*J312*D312</f>
        <v>0</v>
      </c>
      <c r="M312" s="1" t="s">
        <v>50</v>
      </c>
      <c r="N312" s="87" t="s">
        <v>133</v>
      </c>
    </row>
    <row r="313" spans="2:14">
      <c r="B313" s="23"/>
      <c r="D313" s="193" t="s">
        <v>380</v>
      </c>
      <c r="F313" s="133" t="s">
        <v>406</v>
      </c>
      <c r="G313" s="42" t="s">
        <v>31</v>
      </c>
      <c r="H313" s="3">
        <f>DASHBOARD!$D$44</f>
        <v>48</v>
      </c>
      <c r="I313" s="11">
        <f>SUM(I317:I319)*(1/100)</f>
        <v>1.8285714285714287E-2</v>
      </c>
      <c r="J313" s="11">
        <v>1</v>
      </c>
      <c r="K313" s="11">
        <f>D312*I313*J313</f>
        <v>0</v>
      </c>
      <c r="L313" s="4">
        <f>H313*I313*J313*D312</f>
        <v>0</v>
      </c>
      <c r="M313" s="1" t="s">
        <v>136</v>
      </c>
      <c r="N313" s="87" t="s">
        <v>115</v>
      </c>
    </row>
    <row r="314" spans="2:14">
      <c r="B314" s="23"/>
      <c r="D314" s="244"/>
      <c r="F314" s="133" t="s">
        <v>403</v>
      </c>
      <c r="G314" s="42" t="s">
        <v>32</v>
      </c>
      <c r="H314" s="3">
        <f>DASHBOARD!$D$49</f>
        <v>58.847999999999999</v>
      </c>
      <c r="I314" s="11">
        <f>SUM(I317:I319)*(1/10)</f>
        <v>0.18285714285714288</v>
      </c>
      <c r="J314" s="11">
        <v>1</v>
      </c>
      <c r="K314" s="11">
        <f>D312*I314*J314</f>
        <v>0</v>
      </c>
      <c r="L314" s="4">
        <f>H314*I314*J314*D312</f>
        <v>0</v>
      </c>
      <c r="M314" s="1" t="s">
        <v>137</v>
      </c>
      <c r="N314" s="87" t="s">
        <v>134</v>
      </c>
    </row>
    <row r="315" spans="2:14">
      <c r="B315" s="23"/>
      <c r="D315" s="244"/>
      <c r="F315" s="133" t="s">
        <v>404</v>
      </c>
      <c r="G315" s="42" t="s">
        <v>33</v>
      </c>
      <c r="H315" s="3">
        <f>DASHBOARD!$D$50</f>
        <v>39</v>
      </c>
      <c r="I315" s="11">
        <f>SUM(I317:I319)*(1/33)</f>
        <v>5.5411255411255418E-2</v>
      </c>
      <c r="J315" s="11">
        <v>1</v>
      </c>
      <c r="K315" s="11">
        <f>D312*I315*J315</f>
        <v>0</v>
      </c>
      <c r="L315" s="4">
        <f>H315*I315*J315*D312</f>
        <v>0</v>
      </c>
      <c r="M315" s="1" t="s">
        <v>138</v>
      </c>
      <c r="N315" s="87" t="s">
        <v>115</v>
      </c>
    </row>
    <row r="316" spans="2:14">
      <c r="B316" s="23"/>
      <c r="D316" s="244"/>
      <c r="F316" s="133" t="s">
        <v>405</v>
      </c>
      <c r="G316" s="42" t="s">
        <v>34</v>
      </c>
      <c r="H316" s="3">
        <f>DASHBOARD!$D$51</f>
        <v>43.199999999999996</v>
      </c>
      <c r="I316" s="11">
        <f>SUM(I317:I319)*(1/100)</f>
        <v>1.8285714285714287E-2</v>
      </c>
      <c r="J316" s="11">
        <v>1</v>
      </c>
      <c r="K316" s="11">
        <f>D312*I316*J316</f>
        <v>0</v>
      </c>
      <c r="L316" s="4">
        <f>H316*I316*J316*D312</f>
        <v>0</v>
      </c>
      <c r="M316" s="1" t="s">
        <v>136</v>
      </c>
      <c r="N316" s="87" t="s">
        <v>135</v>
      </c>
    </row>
    <row r="317" spans="2:14">
      <c r="B317" s="23"/>
      <c r="D317" s="244"/>
      <c r="F317" s="2" t="s">
        <v>451</v>
      </c>
      <c r="G317" s="42" t="s">
        <v>27</v>
      </c>
      <c r="H317" s="3">
        <f>DASHBOARD!$D$39</f>
        <v>30</v>
      </c>
      <c r="I317" s="11">
        <f>DASHBOARD!$D$117*(100/60)*(8/7)</f>
        <v>0.38095238095238099</v>
      </c>
      <c r="J317" s="11">
        <v>1</v>
      </c>
      <c r="K317" s="11">
        <f>D312*I317*J317</f>
        <v>0</v>
      </c>
      <c r="L317" s="4">
        <f>H317*I317*J317*D312</f>
        <v>0</v>
      </c>
      <c r="M317" s="1" t="s">
        <v>461</v>
      </c>
      <c r="N317" s="88" t="s">
        <v>463</v>
      </c>
    </row>
    <row r="318" spans="2:14" ht="15" customHeight="1">
      <c r="B318" s="23"/>
      <c r="D318" s="244"/>
      <c r="F318" s="2" t="s">
        <v>405</v>
      </c>
      <c r="G318" s="42" t="s">
        <v>27</v>
      </c>
      <c r="H318" s="3">
        <f>DASHBOARD!$D$39</f>
        <v>30</v>
      </c>
      <c r="I318" s="11">
        <f>DASHBOARD!$D$118*(100/60)*(8/7)</f>
        <v>0.59523809523809523</v>
      </c>
      <c r="J318" s="11">
        <v>1</v>
      </c>
      <c r="K318" s="11">
        <f>D312*I318*J318</f>
        <v>0</v>
      </c>
      <c r="L318" s="4">
        <f>H318*I318*J318*D312</f>
        <v>0</v>
      </c>
      <c r="M318" s="72" t="s">
        <v>462</v>
      </c>
      <c r="N318" s="88" t="s">
        <v>464</v>
      </c>
    </row>
    <row r="319" spans="2:14">
      <c r="B319" s="23"/>
      <c r="D319" s="244"/>
      <c r="F319" s="2" t="s">
        <v>453</v>
      </c>
      <c r="G319" s="66" t="s">
        <v>27</v>
      </c>
      <c r="H319" s="3">
        <f>DASHBOARD!$D$39</f>
        <v>30</v>
      </c>
      <c r="I319" s="11">
        <f>DASHBOARD!$D$119*(100/60)*(8/7)</f>
        <v>0.85238095238095235</v>
      </c>
      <c r="J319" s="11">
        <v>1</v>
      </c>
      <c r="K319" s="11">
        <f>D312*I319*J319</f>
        <v>0</v>
      </c>
      <c r="L319" s="4">
        <f>H319*I319*J319*D312</f>
        <v>0</v>
      </c>
      <c r="M319" s="160" t="s">
        <v>402</v>
      </c>
      <c r="N319" s="87" t="s">
        <v>115</v>
      </c>
    </row>
    <row r="320" spans="2:14">
      <c r="B320" s="23"/>
      <c r="D320" s="244"/>
      <c r="G320" s="1" t="s">
        <v>41</v>
      </c>
      <c r="H320" s="3">
        <f>DASHBOARD!$D$57</f>
        <v>3.95</v>
      </c>
      <c r="I320" s="11">
        <v>1</v>
      </c>
      <c r="J320" s="55">
        <f>2*SUM(I317:I319)/8</f>
        <v>0.45714285714285718</v>
      </c>
      <c r="K320" s="55"/>
      <c r="L320" s="4">
        <f>H320*I320*J320*D312</f>
        <v>0</v>
      </c>
      <c r="M320" s="1" t="s">
        <v>139</v>
      </c>
      <c r="N320" s="87" t="s">
        <v>117</v>
      </c>
    </row>
    <row r="321" spans="2:14">
      <c r="B321" s="23"/>
      <c r="D321" s="244"/>
      <c r="G321" s="1" t="s">
        <v>9</v>
      </c>
      <c r="H321" s="3">
        <f>DASHBOARD!$D$58</f>
        <v>13.95</v>
      </c>
      <c r="I321" s="11">
        <v>1</v>
      </c>
      <c r="J321" s="55">
        <f>2*SUM(I317:I319)/8</f>
        <v>0.45714285714285718</v>
      </c>
      <c r="K321" s="55"/>
      <c r="L321" s="4">
        <f>H321*I321*J321*D312</f>
        <v>0</v>
      </c>
      <c r="M321" s="1" t="s">
        <v>139</v>
      </c>
      <c r="N321" s="87" t="s">
        <v>118</v>
      </c>
    </row>
    <row r="322" spans="2:14">
      <c r="B322" s="23"/>
      <c r="D322" s="244"/>
      <c r="G322" s="1" t="s">
        <v>16</v>
      </c>
      <c r="H322" s="3">
        <f>DASHBOARD!$D$59</f>
        <v>0.23960000000000001</v>
      </c>
      <c r="I322" s="11">
        <v>1</v>
      </c>
      <c r="J322" s="55">
        <f>ROUNDUP(I312/8,0)+(ROUNDUP(I317/8,0)+ROUNDUP(I318/8,0)+ROUNDUP(I319/8,0))*(100/DASHBOARD!$D$121)</f>
        <v>7.3829787234042552</v>
      </c>
      <c r="K322" s="55"/>
      <c r="L322" s="4">
        <f>H322*I322*J322*D312</f>
        <v>0</v>
      </c>
      <c r="M322" s="1" t="s">
        <v>140</v>
      </c>
      <c r="N322" s="87" t="s">
        <v>119</v>
      </c>
    </row>
    <row r="323" spans="2:14">
      <c r="B323" s="23"/>
      <c r="D323" s="244"/>
      <c r="G323" s="1" t="s">
        <v>10</v>
      </c>
      <c r="H323" s="3">
        <f>DASHBOARD!$D$60</f>
        <v>1.7004999999999999</v>
      </c>
      <c r="I323" s="11">
        <v>1</v>
      </c>
      <c r="J323" s="55">
        <f>2*SUM(I317:I319)/8</f>
        <v>0.45714285714285718</v>
      </c>
      <c r="K323" s="55"/>
      <c r="L323" s="4">
        <f>H323*I323*J323*D312</f>
        <v>0</v>
      </c>
      <c r="M323" s="1" t="s">
        <v>139</v>
      </c>
      <c r="N323" s="87" t="s">
        <v>119</v>
      </c>
    </row>
    <row r="324" spans="2:14">
      <c r="B324" s="23"/>
      <c r="D324" s="244"/>
      <c r="G324" s="1" t="s">
        <v>414</v>
      </c>
      <c r="H324" s="3">
        <f>DASHBOARD!$D$74</f>
        <v>20</v>
      </c>
      <c r="I324" s="11">
        <v>1</v>
      </c>
      <c r="J324" s="11">
        <v>100</v>
      </c>
      <c r="K324" s="11"/>
      <c r="L324" s="4">
        <f>H324*I324*J324*D312</f>
        <v>0</v>
      </c>
      <c r="M324" s="1" t="s">
        <v>415</v>
      </c>
      <c r="N324" s="87" t="s">
        <v>141</v>
      </c>
    </row>
    <row r="325" spans="2:14" ht="21" customHeight="1" thickBot="1">
      <c r="B325" s="9" t="s">
        <v>7</v>
      </c>
      <c r="C325" s="10"/>
      <c r="D325" s="14"/>
      <c r="E325" s="20"/>
      <c r="F325" s="14"/>
      <c r="G325" s="10"/>
      <c r="H325" s="549" t="s">
        <v>81</v>
      </c>
      <c r="I325" s="549"/>
      <c r="J325" s="549"/>
      <c r="K325" s="243"/>
      <c r="L325" s="70">
        <f>(D228*F228*SUM(L228:L241))+(D228*F242*SUM(L242:L255))+(D256*E262*F256*SUM(L256:L269))+(D256*E262*F270*SUM(L270:L283))+(D256*E290*F284*SUM(L284:L297))+(D256*E290*F298*SUM(L298:L311))+SUM(L312:L324)</f>
        <v>1990.339059707655</v>
      </c>
      <c r="M325" s="69" t="str">
        <f>"Per Person Cost is "&amp;ROUND(L325/100,2)&amp;" and the cost per "&amp;$C$4&amp;" people is "&amp;ROUND(L325/100*$C$4,2)</f>
        <v>Per Person Cost is 19.9 and the cost per 86446 people is 1720568.5</v>
      </c>
    </row>
    <row r="326" spans="2:14" ht="22.35" customHeight="1">
      <c r="B326" s="24" t="s">
        <v>26</v>
      </c>
      <c r="C326" s="26">
        <f>C4</f>
        <v>86446</v>
      </c>
      <c r="D326" s="2">
        <f>1*DASHBOARD!$D$139</f>
        <v>1</v>
      </c>
      <c r="E326" s="21">
        <v>1</v>
      </c>
      <c r="F326" s="2">
        <f>1-C8</f>
        <v>0.99877000000000005</v>
      </c>
      <c r="G326" s="42" t="s">
        <v>14</v>
      </c>
      <c r="H326" s="3">
        <f>DASHBOARD!D35</f>
        <v>24.612000000000002</v>
      </c>
      <c r="I326" s="32">
        <f>1.67*(8/7)*DASHBOARD!$D$131</f>
        <v>1.9085714285714284</v>
      </c>
      <c r="J326" s="1">
        <v>1</v>
      </c>
      <c r="K326" s="1">
        <f>F326*I326*J326</f>
        <v>1.9062238857142857</v>
      </c>
      <c r="L326" s="4">
        <f>H326*I326*J326</f>
        <v>46.973759999999999</v>
      </c>
      <c r="M326" s="1" t="s">
        <v>79</v>
      </c>
      <c r="N326" s="87" t="s">
        <v>133</v>
      </c>
    </row>
    <row r="327" spans="2:14" ht="22.35" customHeight="1">
      <c r="B327" s="24"/>
      <c r="C327" s="26"/>
      <c r="F327" s="2" t="s">
        <v>457</v>
      </c>
      <c r="G327" s="42" t="s">
        <v>17</v>
      </c>
      <c r="H327" s="3">
        <f>DASHBOARD!D36</f>
        <v>45.12</v>
      </c>
      <c r="I327" s="32">
        <f>I326/5</f>
        <v>0.38171428571428567</v>
      </c>
      <c r="J327" s="1">
        <v>1</v>
      </c>
      <c r="K327" s="1">
        <f>F326*I327*J327</f>
        <v>0.38124477714285709</v>
      </c>
      <c r="L327" s="4">
        <f>H327*I327*J327</f>
        <v>17.222948571428567</v>
      </c>
      <c r="N327" s="87" t="s">
        <v>112</v>
      </c>
    </row>
    <row r="328" spans="2:14">
      <c r="B328" s="24"/>
      <c r="F328" s="2">
        <f>C8</f>
        <v>1.23E-3</v>
      </c>
      <c r="G328" s="42" t="s">
        <v>17</v>
      </c>
      <c r="H328" s="3">
        <f>DASHBOARD!D36</f>
        <v>45.12</v>
      </c>
      <c r="I328" s="32">
        <v>8</v>
      </c>
      <c r="J328" s="1">
        <f>4.16*(8/7)</f>
        <v>4.7542857142857144</v>
      </c>
      <c r="K328" s="1">
        <f>F328*I328*J328</f>
        <v>4.6782171428571426E-2</v>
      </c>
      <c r="L328" s="4">
        <f>H328*I328*J328</f>
        <v>1716.1069714285713</v>
      </c>
      <c r="M328" s="1" t="s">
        <v>96</v>
      </c>
      <c r="N328" s="87" t="s">
        <v>112</v>
      </c>
    </row>
    <row r="329" spans="2:14" ht="16.350000000000001" customHeight="1" thickBot="1">
      <c r="B329" s="9" t="s">
        <v>7</v>
      </c>
      <c r="C329" s="10"/>
      <c r="D329" s="14"/>
      <c r="E329" s="20"/>
      <c r="F329" s="14"/>
      <c r="G329" s="10"/>
      <c r="H329" s="549" t="s">
        <v>81</v>
      </c>
      <c r="I329" s="549"/>
      <c r="J329" s="549"/>
      <c r="K329" s="243"/>
      <c r="L329" s="70">
        <f>(D326*F326*SUM(L326:L327))+(D326*F328*L328)</f>
        <v>66.228558194742845</v>
      </c>
      <c r="M329" s="69" t="str">
        <f>"Per Person Cost is "&amp;ROUND(L329/100,2)&amp;" and the cost per "&amp;$C$4&amp;" people is "&amp;ROUND(L329/100*$C$4,2)</f>
        <v>Per Person Cost is 0.66 and the cost per 86446 people is 57251.94</v>
      </c>
    </row>
    <row r="330" spans="2:14">
      <c r="B330" s="25" t="s">
        <v>173</v>
      </c>
      <c r="C330" s="26">
        <f>C4</f>
        <v>86446</v>
      </c>
      <c r="D330" s="2">
        <f>1*DASHBOARD!$D$139</f>
        <v>1</v>
      </c>
      <c r="E330" s="21">
        <v>1</v>
      </c>
      <c r="F330" s="2">
        <f>1-C8</f>
        <v>0.99877000000000005</v>
      </c>
      <c r="G330" s="1" t="s">
        <v>30</v>
      </c>
      <c r="H330" s="3">
        <v>0</v>
      </c>
      <c r="I330" s="32">
        <v>0</v>
      </c>
      <c r="J330" s="1">
        <v>0</v>
      </c>
      <c r="L330" s="4">
        <f>H330*I330*J330</f>
        <v>0</v>
      </c>
    </row>
    <row r="331" spans="2:14" ht="22.35" customHeight="1">
      <c r="B331" s="25"/>
      <c r="F331" s="2">
        <f>C8</f>
        <v>1.23E-3</v>
      </c>
      <c r="G331" s="42" t="s">
        <v>17</v>
      </c>
      <c r="H331" s="3">
        <f>DASHBOARD!$D$36</f>
        <v>45.12</v>
      </c>
      <c r="I331" s="32">
        <f>8*DASHBOARD!$D$133</f>
        <v>8</v>
      </c>
      <c r="J331" s="1">
        <v>12.5</v>
      </c>
      <c r="K331" s="1">
        <f>$F$331*I331*J331</f>
        <v>0.123</v>
      </c>
      <c r="L331" s="4">
        <f>H331*I331*J331</f>
        <v>4512</v>
      </c>
      <c r="M331" s="1" t="s">
        <v>298</v>
      </c>
      <c r="N331" s="87" t="s">
        <v>112</v>
      </c>
    </row>
    <row r="332" spans="2:14" ht="33" customHeight="1">
      <c r="B332" s="25"/>
      <c r="D332" s="137">
        <v>0</v>
      </c>
      <c r="G332" s="42" t="s">
        <v>14</v>
      </c>
      <c r="H332" s="3">
        <f>DASHBOARD!$D$35</f>
        <v>24.612000000000002</v>
      </c>
      <c r="I332" s="32">
        <f>8*DASHBOARD!$D$133</f>
        <v>8</v>
      </c>
      <c r="J332" s="1">
        <f>7.14*(DASHBOARD!$D$106+DASHBOARD!$D$107)/5</f>
        <v>22.847999999999999</v>
      </c>
      <c r="K332" s="1">
        <f t="shared" ref="K332:K337" si="12">$F$331*I332*J332</f>
        <v>0.22482431999999999</v>
      </c>
      <c r="L332" s="4">
        <f>H332*I332*J332</f>
        <v>4498.6798079999999</v>
      </c>
      <c r="M332" s="1" t="s">
        <v>309</v>
      </c>
      <c r="N332" s="87"/>
    </row>
    <row r="333" spans="2:14" ht="33" customHeight="1">
      <c r="B333" s="25"/>
      <c r="D333" s="254" t="s">
        <v>496</v>
      </c>
      <c r="F333" s="2" t="s">
        <v>454</v>
      </c>
      <c r="G333" s="132" t="s">
        <v>450</v>
      </c>
      <c r="H333" s="3">
        <f>DASHBOARD!$D$52</f>
        <v>48</v>
      </c>
      <c r="I333" s="32">
        <v>8</v>
      </c>
      <c r="J333" s="11">
        <f>SUM(J331:J332)/5.5</f>
        <v>6.4269090909090911</v>
      </c>
      <c r="K333" s="1">
        <f t="shared" si="12"/>
        <v>6.3240785454545451E-2</v>
      </c>
      <c r="L333" s="4">
        <f>H333*I333*J333</f>
        <v>2467.9330909090909</v>
      </c>
      <c r="M333" s="1" t="s">
        <v>300</v>
      </c>
      <c r="N333" s="87"/>
    </row>
    <row r="334" spans="2:14" ht="33" customHeight="1">
      <c r="B334" s="25"/>
      <c r="F334" s="2" t="s">
        <v>455</v>
      </c>
      <c r="G334" s="132" t="s">
        <v>180</v>
      </c>
      <c r="H334" s="3">
        <f>DASHBOARD!$D$53</f>
        <v>121.78799999999998</v>
      </c>
      <c r="I334" s="32">
        <v>8</v>
      </c>
      <c r="J334" s="11">
        <f>SUM(J331:J332)/27.5</f>
        <v>1.2853818181818182</v>
      </c>
      <c r="K334" s="1">
        <f t="shared" si="12"/>
        <v>1.2648157090909091E-2</v>
      </c>
      <c r="L334" s="4">
        <f t="shared" ref="L334:L337" si="13">H334*I334*J334</f>
        <v>1252.352646981818</v>
      </c>
      <c r="M334" s="1" t="s">
        <v>308</v>
      </c>
      <c r="N334" s="87"/>
    </row>
    <row r="335" spans="2:14" ht="33" customHeight="1">
      <c r="B335" s="25"/>
      <c r="F335" s="2" t="s">
        <v>455</v>
      </c>
      <c r="G335" s="132" t="s">
        <v>458</v>
      </c>
      <c r="H335" s="3">
        <f>DASHBOARD!$D$45</f>
        <v>54.804000000000002</v>
      </c>
      <c r="I335" s="1">
        <v>8</v>
      </c>
      <c r="J335" s="11">
        <f>SUM(J331:J332)/27.5</f>
        <v>1.2853818181818182</v>
      </c>
      <c r="K335" s="1">
        <f t="shared" si="12"/>
        <v>1.2648157090909091E-2</v>
      </c>
      <c r="L335" s="4">
        <f t="shared" si="13"/>
        <v>563.55252130909093</v>
      </c>
      <c r="M335" s="1" t="s">
        <v>302</v>
      </c>
      <c r="N335" s="87" t="s">
        <v>112</v>
      </c>
    </row>
    <row r="336" spans="2:14" ht="33" customHeight="1">
      <c r="B336" s="25"/>
      <c r="G336" s="132" t="s">
        <v>353</v>
      </c>
      <c r="H336" s="3">
        <f>DASHBOARD!$D$54</f>
        <v>60</v>
      </c>
      <c r="I336" s="1">
        <v>8</v>
      </c>
      <c r="J336" s="11">
        <f>SUM(J331:J332)/9.167*DASHBOARD!$D$130</f>
        <v>3.85600523617323</v>
      </c>
      <c r="K336" s="1">
        <f t="shared" si="12"/>
        <v>3.794309152394458E-2</v>
      </c>
      <c r="L336" s="4">
        <f t="shared" si="13"/>
        <v>1850.8825133631503</v>
      </c>
      <c r="M336" s="1" t="s">
        <v>305</v>
      </c>
      <c r="N336" s="87"/>
    </row>
    <row r="337" spans="2:14" ht="33" customHeight="1">
      <c r="B337" s="25"/>
      <c r="F337" s="2" t="s">
        <v>456</v>
      </c>
      <c r="G337" s="42" t="s">
        <v>14</v>
      </c>
      <c r="H337" s="3">
        <f>DASHBOARD!$D$35</f>
        <v>24.612000000000002</v>
      </c>
      <c r="I337" s="32">
        <v>8</v>
      </c>
      <c r="J337" s="11">
        <f>SUM(J331:J332)/2.2*DASHBOARD!$D$129</f>
        <v>16.067272727272726</v>
      </c>
      <c r="K337" s="1">
        <f t="shared" si="12"/>
        <v>0.15810196363636361</v>
      </c>
      <c r="L337" s="4">
        <f t="shared" si="13"/>
        <v>3163.5817309090912</v>
      </c>
      <c r="M337" s="1" t="s">
        <v>310</v>
      </c>
      <c r="N337" s="87"/>
    </row>
    <row r="338" spans="2:14" ht="33" customHeight="1">
      <c r="B338" s="25"/>
      <c r="G338" s="42" t="s">
        <v>109</v>
      </c>
      <c r="L338" s="4">
        <f>(L329+L325+L227+L211)*(C6+2)*D332</f>
        <v>0</v>
      </c>
      <c r="M338" s="1" t="s">
        <v>108</v>
      </c>
      <c r="N338" s="3"/>
    </row>
    <row r="339" spans="2:14" ht="63">
      <c r="B339" s="25"/>
      <c r="G339" s="42" t="s">
        <v>203</v>
      </c>
      <c r="L339" s="4">
        <f>'Expanded Contact Investigaton'!L285*C6*0</f>
        <v>0</v>
      </c>
      <c r="M339" s="1" t="s">
        <v>110</v>
      </c>
      <c r="N339" s="3"/>
    </row>
    <row r="340" spans="2:14" ht="23.1" customHeight="1" thickBot="1">
      <c r="B340" s="9" t="s">
        <v>7</v>
      </c>
      <c r="C340" s="10"/>
      <c r="D340" s="14"/>
      <c r="E340" s="20"/>
      <c r="F340" s="14"/>
      <c r="G340" s="10"/>
      <c r="H340" s="549" t="s">
        <v>81</v>
      </c>
      <c r="I340" s="549"/>
      <c r="J340" s="549"/>
      <c r="K340" s="243"/>
      <c r="L340" s="70">
        <f>((C330*D330*F330*L330)+(C330*D330*F331*SUM(L331:L339)))/100/C330*100</f>
        <v>22.520048243110864</v>
      </c>
      <c r="M340" s="69" t="str">
        <f>"Per Person Cost is "&amp;ROUND(L340/100,2)&amp;" and the cost per "&amp;$C$4&amp;" people is "&amp;ROUND(L340/100*$C$4,2)</f>
        <v>Per Person Cost is 0.23 and the cost per 86446 people is 19467.68</v>
      </c>
    </row>
    <row r="341" spans="2:14" ht="19.5" thickBot="1">
      <c r="B341" s="62" t="s">
        <v>53</v>
      </c>
      <c r="C341" s="63">
        <v>100</v>
      </c>
      <c r="D341" s="64" t="s">
        <v>54</v>
      </c>
      <c r="E341" s="59"/>
      <c r="F341" s="58"/>
      <c r="G341" s="57"/>
      <c r="H341" s="60"/>
      <c r="I341" s="61"/>
      <c r="J341" s="57"/>
      <c r="K341" s="57"/>
      <c r="L341" s="65">
        <f>SUM(L22,L211,L227,L325,L329,L340)</f>
        <v>3797.4445174024522</v>
      </c>
      <c r="M341" s="69" t="str">
        <f>"Per Person Cost is "&amp;ROUND(L341/100,2)&amp;" and the cost per "&amp;$C$4&amp;" people is "&amp;ROUND(L341/100*$C$4,2)</f>
        <v>Per Person Cost is 37.97 and the cost per 86446 people is 3282738.89</v>
      </c>
    </row>
    <row r="344" spans="2:14" ht="21">
      <c r="B344" s="550" t="s">
        <v>56</v>
      </c>
      <c r="C344" s="550"/>
    </row>
    <row r="345" spans="2:14">
      <c r="B345" s="68" t="s">
        <v>57</v>
      </c>
      <c r="C345" s="68" t="s">
        <v>92</v>
      </c>
    </row>
    <row r="346" spans="2:14">
      <c r="B346" s="68" t="s">
        <v>60</v>
      </c>
      <c r="C346" s="68" t="s">
        <v>93</v>
      </c>
    </row>
    <row r="347" spans="2:14">
      <c r="B347" s="68"/>
      <c r="C347" s="68" t="s">
        <v>73</v>
      </c>
    </row>
    <row r="348" spans="2:14">
      <c r="B348" s="68" t="s">
        <v>65</v>
      </c>
      <c r="C348" s="68" t="s">
        <v>66</v>
      </c>
    </row>
    <row r="349" spans="2:14">
      <c r="B349" s="68"/>
      <c r="C349" s="68" t="s">
        <v>67</v>
      </c>
    </row>
    <row r="350" spans="2:14">
      <c r="B350" s="68" t="s">
        <v>68</v>
      </c>
      <c r="C350" s="68" t="s">
        <v>69</v>
      </c>
    </row>
    <row r="351" spans="2:14">
      <c r="B351" s="68"/>
      <c r="C351" s="68" t="s">
        <v>70</v>
      </c>
    </row>
    <row r="352" spans="2:14">
      <c r="B352" s="68"/>
      <c r="C352" s="68" t="s">
        <v>94</v>
      </c>
    </row>
    <row r="353" spans="2:3">
      <c r="B353" s="68"/>
      <c r="C353" s="68" t="s">
        <v>95</v>
      </c>
    </row>
    <row r="354" spans="2:3">
      <c r="B354" s="68" t="s">
        <v>71</v>
      </c>
      <c r="C354" s="68" t="s">
        <v>61</v>
      </c>
    </row>
    <row r="355" spans="2:3">
      <c r="B355" s="68"/>
      <c r="C355" s="68" t="s">
        <v>58</v>
      </c>
    </row>
    <row r="356" spans="2:3">
      <c r="B356" s="68" t="s">
        <v>72</v>
      </c>
      <c r="C356" s="68" t="s">
        <v>61</v>
      </c>
    </row>
    <row r="357" spans="2:3">
      <c r="B357" s="68"/>
      <c r="C357" s="68" t="s">
        <v>58</v>
      </c>
    </row>
  </sheetData>
  <sheetProtection algorithmName="SHA-512" hashValue="lmja76WgFSyPYz+qAy2cJCpFBvFkvxFR4faeEfHG6t2QPYRch06T2jQeXL17TRUFWs+SZKN82ltPyHF0Q7FOEQ==" saltValue="5WGflAtKUbnPdk4RL0Lk8w==" spinCount="100000" sheet="1" objects="1" scenarios="1"/>
  <mergeCells count="8">
    <mergeCell ref="H340:J340"/>
    <mergeCell ref="B344:C344"/>
    <mergeCell ref="B2:D2"/>
    <mergeCell ref="H22:J22"/>
    <mergeCell ref="H211:J211"/>
    <mergeCell ref="H227:J227"/>
    <mergeCell ref="H325:J325"/>
    <mergeCell ref="H329:J329"/>
  </mergeCells>
  <hyperlinks>
    <hyperlink ref="N17" r:id="rId1" xr:uid="{6F0DAD72-E1CA-4439-A676-67F129B7C7A2}"/>
    <hyperlink ref="N23" r:id="rId2" xr:uid="{5CEFEEB2-858A-4D4E-9675-B9ECF853635A}"/>
    <hyperlink ref="N24" r:id="rId3" xr:uid="{024DBF11-33BE-4890-9A04-970CBECEBE08}"/>
    <hyperlink ref="N25" r:id="rId4" xr:uid="{912CAFC0-6CDA-4FCF-B216-8B3C1EB3B0B9}"/>
    <hyperlink ref="N30" r:id="rId5" location="srp" xr:uid="{E79C1DC0-10C6-46E8-ADE1-D167C878E595}"/>
    <hyperlink ref="N29" r:id="rId6" location="srp" xr:uid="{38BBC939-F8F5-48AE-813D-276C02BFB3B9}"/>
    <hyperlink ref="N28" r:id="rId7" xr:uid="{D5F2F901-901A-44A5-AE24-4A104CF38EFE}"/>
    <hyperlink ref="N27" r:id="rId8" xr:uid="{C874D2A8-A9D0-483D-B2F4-DAB2C2947023}"/>
    <hyperlink ref="N26" r:id="rId9" xr:uid="{23F8858E-08ED-42C1-9DCD-C1D7FB0E5A88}"/>
    <hyperlink ref="N45" r:id="rId10" xr:uid="{2058C8E0-A9D5-49CE-8712-7DD550A3C350}"/>
    <hyperlink ref="N46" r:id="rId11" xr:uid="{26B6030E-B29B-4627-AE5C-C6A448C9368A}"/>
    <hyperlink ref="N47" r:id="rId12" xr:uid="{BA549B64-0FBA-46A1-AACB-8A9358619219}"/>
    <hyperlink ref="N52" r:id="rId13" location="srp" xr:uid="{A8415261-92B9-466A-8847-CB03CE3521C6}"/>
    <hyperlink ref="N51" r:id="rId14" location="srp" xr:uid="{305528EE-57CA-4F36-BCA6-6A8C6037E0BF}"/>
    <hyperlink ref="N50" r:id="rId15" xr:uid="{3343833F-C2E7-41CF-AE2C-6EBB73C24AE4}"/>
    <hyperlink ref="N49" r:id="rId16" xr:uid="{5A46CB1A-B9E0-430A-AE44-E3F2F8C37A81}"/>
    <hyperlink ref="N48" r:id="rId17" xr:uid="{5EE784EC-C3A8-47DD-93C6-45D75D25B2B0}"/>
    <hyperlink ref="N213" r:id="rId18" location="ListeFonctPrinc" xr:uid="{F4DB0A20-C326-4118-95CF-8E1D970FF40E}"/>
    <hyperlink ref="N214" r:id="rId19" display="https://www.caaquebec.com/en/on-the-road/public-interest/gasoline-matters/gasoline-watch/" xr:uid="{740E13EA-8A6A-4E08-8CE2-9655D24CA9A7}"/>
    <hyperlink ref="N217" r:id="rId20" xr:uid="{41E839FA-750F-402D-8BDC-D84BA591AA78}"/>
    <hyperlink ref="N216" r:id="rId21" xr:uid="{7CA83A31-B7E8-4E35-AADE-407B5D883401}"/>
    <hyperlink ref="N228" r:id="rId22" xr:uid="{2733B9FC-9462-467B-B160-CB4F66BBC504}"/>
    <hyperlink ref="N229" r:id="rId23" xr:uid="{0793A599-8C83-4B47-970C-F4869A78D8E3}"/>
    <hyperlink ref="N231" r:id="rId24" xr:uid="{82F88CD8-E439-49D8-8D15-EE3EE350B4E0}"/>
    <hyperlink ref="N233" r:id="rId25" xr:uid="{B4C3161D-A33F-423D-9AD6-807DB62A6438}"/>
    <hyperlink ref="N234" r:id="rId26" xr:uid="{E475BF98-25D7-492B-91EC-BB33BAC4DEE3}"/>
    <hyperlink ref="N235" r:id="rId27" xr:uid="{EB85E703-EB6D-43C8-814E-0A9DBA26C174}"/>
    <hyperlink ref="N230" r:id="rId28" xr:uid="{CD14D622-F191-4006-B618-FBF5F1C2C3F9}"/>
    <hyperlink ref="N232" r:id="rId29" xr:uid="{3F35E2D0-A5BB-4190-A4D5-25DCD3F40E1F}"/>
    <hyperlink ref="N239" r:id="rId30" location="srp" xr:uid="{D7DAFA8B-8593-4291-A59E-B3B108B5AF81}"/>
    <hyperlink ref="N238" r:id="rId31" location="srp" xr:uid="{377ED3FE-CAE1-499F-B63A-10BDF7ABAC8F}"/>
    <hyperlink ref="N237" r:id="rId32" xr:uid="{AD2B0CDE-33DF-4885-852C-DA1C38D43B4E}"/>
    <hyperlink ref="N236" r:id="rId33" xr:uid="{A16E2235-F12E-429F-98F4-59FD871E31E8}"/>
    <hyperlink ref="N240" r:id="rId34" xr:uid="{157BCA98-8D33-4716-8687-37861F9D20CA}"/>
    <hyperlink ref="N241" r:id="rId35" xr:uid="{35FDF918-9C5F-45CF-B530-2C9B3FAD972A}"/>
    <hyperlink ref="N242" r:id="rId36" xr:uid="{CE880ABE-9C42-4F08-87DC-03179440A2B2}"/>
    <hyperlink ref="N243" r:id="rId37" xr:uid="{AB150CC7-3B21-4BAD-9565-EFA265B77E74}"/>
    <hyperlink ref="N245" r:id="rId38" xr:uid="{68EA20E6-C4EB-46D1-85AE-CA38CC57537A}"/>
    <hyperlink ref="N247" r:id="rId39" xr:uid="{19C667CE-32A3-4331-A131-7FF2C4E395E8}"/>
    <hyperlink ref="N248" r:id="rId40" xr:uid="{7B9A8C08-11CB-4796-9291-9985898EA961}"/>
    <hyperlink ref="N249" r:id="rId41" xr:uid="{8CF0908C-98CE-4B8F-B497-758F7A296867}"/>
    <hyperlink ref="N244" r:id="rId42" xr:uid="{2845A0C4-AAAA-4C3A-8363-365A622E5DA4}"/>
    <hyperlink ref="N246" r:id="rId43" xr:uid="{F8E8FB2E-F2CA-46C9-BD4B-D305887944E6}"/>
    <hyperlink ref="N253" r:id="rId44" location="srp" xr:uid="{0E2CB7E4-F76F-4ADE-80E1-03BE36D68A65}"/>
    <hyperlink ref="N252" r:id="rId45" location="srp" xr:uid="{B18952C9-C025-494B-AB13-2D5752E064C7}"/>
    <hyperlink ref="N251" r:id="rId46" xr:uid="{F9ECEA09-8F7E-4A1B-9F36-7A2E8586C44C}"/>
    <hyperlink ref="N250" r:id="rId47" xr:uid="{5B2DA2BF-8942-4550-BD11-8F336FE86646}"/>
    <hyperlink ref="N254" r:id="rId48" xr:uid="{0C9234D3-E3A5-4E4C-B1D7-9B0273ADFA34}"/>
    <hyperlink ref="N255" r:id="rId49" xr:uid="{983EC3DF-B2A6-46DE-981C-AC5B9CAE0A0C}"/>
    <hyperlink ref="N326" r:id="rId50" xr:uid="{608936C7-06D4-43DD-9607-05E7BF7BE210}"/>
    <hyperlink ref="N327" r:id="rId51" xr:uid="{42C94F94-1FC0-4016-9A47-564FBF3C73AE}"/>
    <hyperlink ref="N328" r:id="rId52" xr:uid="{2B63FF0E-FBAB-4C85-BCBA-E64F07797CDA}"/>
    <hyperlink ref="N109" r:id="rId53" xr:uid="{D667B9B0-805D-4D53-85D4-0975B4319179}"/>
    <hyperlink ref="N110" r:id="rId54" xr:uid="{487E7CBE-3150-44E3-AB9C-1084906DA89C}"/>
    <hyperlink ref="N111" r:id="rId55" xr:uid="{302E4D84-6BF6-420A-B362-4DC56FDBC871}"/>
    <hyperlink ref="N112" r:id="rId56" xr:uid="{198B1C5A-E207-4BC4-AF48-BA31C49502FB}"/>
    <hyperlink ref="N113" r:id="rId57" xr:uid="{14AB2468-6611-4244-BB8E-9A90E9E89A22}"/>
    <hyperlink ref="N118" r:id="rId58" location="srp" xr:uid="{34BE2D4E-5A5B-4B38-B3A0-6E8D4D6EC8F4}"/>
    <hyperlink ref="N117" r:id="rId59" location="srp" xr:uid="{9DC203A9-82CF-4F4F-8ED2-FFCD12DC91A8}"/>
    <hyperlink ref="N116" r:id="rId60" xr:uid="{27F288D9-AF2F-412D-9B5A-0B092C55B50C}"/>
    <hyperlink ref="N115" r:id="rId61" xr:uid="{9B476B10-377B-4470-833D-A71F70FB2A87}"/>
    <hyperlink ref="N114" r:id="rId62" xr:uid="{4901AD69-BBC3-44C3-8CEB-30B305905BAA}"/>
    <hyperlink ref="N134" r:id="rId63" xr:uid="{2E8D5269-3694-40D0-9CF8-4D31BD95ACDD}"/>
    <hyperlink ref="N135" r:id="rId64" xr:uid="{2CAF43CB-8BCD-41F4-AB66-C6D4E9E58487}"/>
    <hyperlink ref="N136" r:id="rId65" xr:uid="{CDBAE36A-9573-4542-97D7-468A385DEA84}"/>
    <hyperlink ref="N137" r:id="rId66" xr:uid="{78990FF6-3816-467D-AAFA-92BA2BA926B0}"/>
    <hyperlink ref="N138" r:id="rId67" xr:uid="{DC656EA5-02A4-4AD0-A636-92E48ED73CEC}"/>
    <hyperlink ref="N143" r:id="rId68" location="srp" xr:uid="{8A7A8527-B757-46B6-ACDF-4FDC57DE43E5}"/>
    <hyperlink ref="N142" r:id="rId69" location="srp" xr:uid="{C0F1B627-F9A6-4884-8F8E-BC26C9FAA1CD}"/>
    <hyperlink ref="N141" r:id="rId70" xr:uid="{7291DDA7-51AA-4606-8E4C-C9AB5398596E}"/>
    <hyperlink ref="N140" r:id="rId71" xr:uid="{1B2DA77E-CA73-4860-B24C-0225E4D66BEC}"/>
    <hyperlink ref="N139" r:id="rId72" xr:uid="{93C90BF9-8895-4490-94E1-B710788AD33C}"/>
    <hyperlink ref="N220" r:id="rId73" location="ListeFonctPrinc" xr:uid="{8D789A80-BC91-4342-9C01-279E81FDB6B2}"/>
    <hyperlink ref="N221" r:id="rId74" display="https://www.caaquebec.com/en/on-the-road/public-interest/gasoline-matters/gasoline-watch/" xr:uid="{BA973346-97A8-4074-8B33-6624F53F67A0}"/>
    <hyperlink ref="N224" r:id="rId75" xr:uid="{6D7A74D5-0DE8-4EF0-A70A-81E5B73F379D}"/>
    <hyperlink ref="N223" r:id="rId76" xr:uid="{621B4C94-0529-446D-9743-3DF04C22AD9B}"/>
    <hyperlink ref="N18" r:id="rId77" xr:uid="{77EED74F-621F-4804-8FC2-9C314381581C}"/>
    <hyperlink ref="N21" r:id="rId78" xr:uid="{A5041EB7-E1E9-490D-9540-4D595355A1B5}"/>
    <hyperlink ref="N67" r:id="rId79" xr:uid="{3D4A504C-D41C-DF44-A1D1-E48277688847}"/>
    <hyperlink ref="N68" r:id="rId80" xr:uid="{B91312E6-CAFF-AA4C-AA51-3A51BBC1A414}"/>
    <hyperlink ref="N69" r:id="rId81" xr:uid="{2E3267D9-F1BB-3041-8DA6-28A83A203A35}"/>
    <hyperlink ref="N74" r:id="rId82" location="srp" xr:uid="{61AB2645-86F4-C94A-B379-256271F62B1D}"/>
    <hyperlink ref="N73" r:id="rId83" location="srp" xr:uid="{566ADBFF-C72A-F74C-A99E-897CEE16A1FA}"/>
    <hyperlink ref="N72" r:id="rId84" xr:uid="{1289B2F3-75DF-4045-945A-28EA95E2DD65}"/>
    <hyperlink ref="N71" r:id="rId85" xr:uid="{A95B6314-66E5-F340-9BE1-B4B97DAC5BDE}"/>
    <hyperlink ref="N70" r:id="rId86" xr:uid="{E0329EED-7442-4443-B424-E1EA7D685DCD}"/>
    <hyperlink ref="N88" r:id="rId87" xr:uid="{769A7EDE-9F22-EE42-BD6F-FCC9B98B0DEA}"/>
    <hyperlink ref="N89" r:id="rId88" xr:uid="{CCB8F9F4-A4A4-FE45-BAD4-292C3176B342}"/>
    <hyperlink ref="N90" r:id="rId89" xr:uid="{6BCD4A22-C786-3D4D-9185-3008198D6BC4}"/>
    <hyperlink ref="N95" r:id="rId90" location="srp" xr:uid="{319F59F6-5646-D046-BA32-07FD3D3593EA}"/>
    <hyperlink ref="N94" r:id="rId91" location="srp" xr:uid="{7744EBFF-DB77-9D44-8BFE-C85065482A3E}"/>
    <hyperlink ref="N93" r:id="rId92" xr:uid="{03FC2284-8879-5A48-841F-AE5B79027012}"/>
    <hyperlink ref="N92" r:id="rId93" xr:uid="{11D0C315-0DA4-1C4D-9E86-6123D760D734}"/>
    <hyperlink ref="N91" r:id="rId94" xr:uid="{F51E97DA-302B-0B4E-AA4D-AAE574FA8071}"/>
    <hyperlink ref="N37" r:id="rId95" location="?keyword=blood+lancet" display="https://www.fishersci.ca/shop/products/bd-micro-fine-contact-activated-lancet-3/p-3491417 - ?keyword=blood+lancet" xr:uid="{A4D6BC8F-6DAA-4832-988D-EBF2CB521171}"/>
    <hyperlink ref="N59" r:id="rId96" location="?keyword=blood+lancet" display="https://www.fishersci.ca/shop/products/bd-micro-fine-contact-activated-lancet-3/p-3491417 - ?keyword=blood+lancet" xr:uid="{BE216207-8CBA-4D65-894E-94D887AFA8C1}"/>
    <hyperlink ref="N80" r:id="rId97" location="?keyword=blood+lancet" display="https://www.fishersci.ca/shop/products/bd-micro-fine-contact-activated-lancet-3/p-3491417 - ?keyword=blood+lancet" xr:uid="{4E13D22A-2099-4604-86B7-21776AD823A5}"/>
    <hyperlink ref="N101" r:id="rId98" location="?keyword=blood+lancet" display="https://www.fishersci.ca/shop/products/bd-micro-fine-contact-activated-lancet-3/p-3491417 - ?keyword=blood+lancet" xr:uid="{EB515C82-8181-4B24-AA53-862E17C26263}"/>
    <hyperlink ref="N126" r:id="rId99" location="?keyword=blood+lancet" display="https://www.fishersci.ca/shop/products/bd-micro-fine-contact-activated-lancet-3/p-3491417 - ?keyword=blood+lancet" xr:uid="{C7CD1F7E-541A-451B-9EE6-F5DCA245EB5A}"/>
    <hyperlink ref="N151" r:id="rId100" location="?keyword=blood+lancet" display="https://www.fishersci.ca/shop/products/bd-micro-fine-contact-activated-lancet-3/p-3491417 - ?keyword=blood+lancet" xr:uid="{77257F12-E838-4F84-8687-5B5E3A4BF908}"/>
    <hyperlink ref="N177" r:id="rId101" location="?keyword=blood+lancet" display="https://www.fishersci.ca/shop/products/bd-micro-fine-contact-activated-lancet-3/p-3491417 - ?keyword=blood+lancet" xr:uid="{58CC27A9-07D7-4518-B940-25F4148576D4}"/>
    <hyperlink ref="N203" r:id="rId102" location="?keyword=blood+lancet" display="https://www.fishersci.ca/shop/products/bd-micro-fine-contact-activated-lancet-3/p-3491417 - ?keyword=blood+lancet" xr:uid="{9E991F65-9B25-4CD4-9ABF-A8A5110799DB}"/>
    <hyperlink ref="N331" r:id="rId103" xr:uid="{F4B13CEE-3AF5-44F9-B638-4F49955FFB22}"/>
    <hyperlink ref="N335" r:id="rId104" xr:uid="{4FA78B9E-5A9E-43C1-B0DA-29FD3E015764}"/>
    <hyperlink ref="N185" r:id="rId105" xr:uid="{F3BE02C9-5716-415A-8D9C-07A65AA5BBC1}"/>
    <hyperlink ref="N186" r:id="rId106" xr:uid="{BF4F69EF-DB90-4C7E-BC68-4E035871DA51}"/>
    <hyperlink ref="N187" r:id="rId107" xr:uid="{987878E4-A513-46BA-ADFD-2A055A2F977E}"/>
    <hyperlink ref="N196" r:id="rId108" location="srp" xr:uid="{126B62E7-3CA8-4A60-A962-890065A0BAF9}"/>
    <hyperlink ref="N195" r:id="rId109" location="srp" xr:uid="{C3781A1D-8B88-43E1-9ED4-488C41D5F28B}"/>
    <hyperlink ref="N194" r:id="rId110" xr:uid="{80F08E0D-25E9-4ADE-B5CB-D8E18505715D}"/>
    <hyperlink ref="N193" r:id="rId111" xr:uid="{E30D5A6E-6FA8-4B84-AD7E-6B11E43037B8}"/>
    <hyperlink ref="N192" r:id="rId112" xr:uid="{3C56D846-117B-4CF9-A9E4-B1898C21C9DE}"/>
    <hyperlink ref="N159" r:id="rId113" xr:uid="{62CFBFE5-049A-453D-A77B-EBF82DE0C2F3}"/>
    <hyperlink ref="N160" r:id="rId114" xr:uid="{B3E3464C-153D-483E-A988-B644686A7EAD}"/>
    <hyperlink ref="N161" r:id="rId115" xr:uid="{756161F4-3F80-4260-9882-BE29D422FC09}"/>
    <hyperlink ref="N170" r:id="rId116" location="srp" xr:uid="{CF0545CF-0754-474F-A656-7878E00EE54F}"/>
    <hyperlink ref="N169" r:id="rId117" location="srp" xr:uid="{21755C17-276B-41BE-AB4A-EAF283888829}"/>
    <hyperlink ref="N168" r:id="rId118" xr:uid="{33844770-B159-4A2B-9486-875B6E411514}"/>
    <hyperlink ref="N167" r:id="rId119" xr:uid="{A1216CB6-CB79-4378-B3E6-FEFA7295AE4B}"/>
    <hyperlink ref="N166" r:id="rId120" xr:uid="{650DB312-6D77-4EB5-81EE-79917EAC9A62}"/>
    <hyperlink ref="N256" r:id="rId121" xr:uid="{1824AC99-F2C3-5549-893E-D66C31EDEEC6}"/>
    <hyperlink ref="N257" r:id="rId122" xr:uid="{F936091F-C249-AC49-A2ED-6DCFCF0F2BEE}"/>
    <hyperlink ref="N259" r:id="rId123" xr:uid="{B9141DA2-E40E-D24B-B648-5AD56484DA88}"/>
    <hyperlink ref="N261" r:id="rId124" xr:uid="{CF20F3C2-7F34-724C-900C-5001A0A3A3E5}"/>
    <hyperlink ref="N262" r:id="rId125" xr:uid="{D9F9396B-532A-324A-B208-01171971C603}"/>
    <hyperlink ref="N263" r:id="rId126" xr:uid="{D417597E-39A5-E247-8E9C-91940F5CA90D}"/>
    <hyperlink ref="N258" r:id="rId127" xr:uid="{79806631-C691-D94E-AE0E-CC05332C5A88}"/>
    <hyperlink ref="N260" r:id="rId128" xr:uid="{869DFD9B-5EE2-5942-8142-6DD745DEE367}"/>
    <hyperlink ref="N267" r:id="rId129" location="srp" xr:uid="{60ED16E9-9DF6-C543-87F7-B6F37CA6D5DA}"/>
    <hyperlink ref="N266" r:id="rId130" location="srp" xr:uid="{9E6BD26D-0723-2B4A-AC34-AB7F09544E42}"/>
    <hyperlink ref="N265" r:id="rId131" xr:uid="{9A5B2419-FEF2-9544-8A71-676C8E6B219E}"/>
    <hyperlink ref="N264" r:id="rId132" xr:uid="{CFB1C322-8DDC-E740-A65F-1A160B5EE1A3}"/>
    <hyperlink ref="N268" r:id="rId133" xr:uid="{039EE44C-C968-9648-84B0-A51B644CCF25}"/>
    <hyperlink ref="N269" r:id="rId134" xr:uid="{61A70211-CDED-BB43-8195-8579DA2EC479}"/>
    <hyperlink ref="N270" r:id="rId135" xr:uid="{475987C1-3705-BB40-B4AF-DB3FF728F97F}"/>
    <hyperlink ref="N271" r:id="rId136" xr:uid="{0F89D7F0-E870-AC46-B5D5-69BDD243BEF0}"/>
    <hyperlink ref="N273" r:id="rId137" xr:uid="{81DA5D6C-7A2B-BD47-B018-4AF0631DF007}"/>
    <hyperlink ref="N275" r:id="rId138" xr:uid="{F9E224FB-9B79-6248-A462-5132C1866C22}"/>
    <hyperlink ref="N276" r:id="rId139" xr:uid="{7BA32107-60AE-B24D-BDB3-5DEFD7A43702}"/>
    <hyperlink ref="N277" r:id="rId140" xr:uid="{4E4B1B52-EC39-9544-9746-13F22DA01AC4}"/>
    <hyperlink ref="N272" r:id="rId141" xr:uid="{A7B37521-AEA8-574C-AE30-AF871FE694A6}"/>
    <hyperlink ref="N274" r:id="rId142" xr:uid="{1F63DE1C-3391-1A45-A126-9208E94C1982}"/>
    <hyperlink ref="N281" r:id="rId143" location="srp" xr:uid="{9758CA9E-B8A4-754E-992E-19E54F01A80B}"/>
    <hyperlink ref="N280" r:id="rId144" location="srp" xr:uid="{776E75CA-2771-5D42-9B93-4AE94D8D27B0}"/>
    <hyperlink ref="N279" r:id="rId145" xr:uid="{B54BE612-764E-9C4E-B1A1-50875DE53128}"/>
    <hyperlink ref="N278" r:id="rId146" xr:uid="{323E13A4-691D-DA41-ACA7-EB78FD4F9B0F}"/>
    <hyperlink ref="N282" r:id="rId147" xr:uid="{A695A393-E7F6-5A40-BC3D-1E5530E91406}"/>
    <hyperlink ref="N283" r:id="rId148" xr:uid="{48BFB9FF-A6BB-414B-B8D5-6ECC144511E3}"/>
    <hyperlink ref="N284" r:id="rId149" xr:uid="{4047BCE1-B7AC-3749-8792-F60D1FA30934}"/>
    <hyperlink ref="N285" r:id="rId150" xr:uid="{ABCD9338-50F6-E843-82E2-727EC22735D2}"/>
    <hyperlink ref="N287" r:id="rId151" xr:uid="{55C0D3EB-B224-E441-8864-19916C97A900}"/>
    <hyperlink ref="N289" r:id="rId152" xr:uid="{1DF0C822-C17B-F141-97AB-52E15457FC1D}"/>
    <hyperlink ref="N290" r:id="rId153" xr:uid="{BF4B71E4-F648-DC4D-A422-74AE482B7F56}"/>
    <hyperlink ref="N291" r:id="rId154" xr:uid="{15D580DC-D39B-054D-8664-D5B39C94317F}"/>
    <hyperlink ref="N286" r:id="rId155" xr:uid="{B464C24A-D19F-0745-AFFA-0D878E65BA50}"/>
    <hyperlink ref="N288" r:id="rId156" xr:uid="{738DE670-98F2-E44C-833F-87DEB135EF5E}"/>
    <hyperlink ref="N295" r:id="rId157" location="srp" xr:uid="{C918961B-A8BA-DB47-8F89-1991E8F62473}"/>
    <hyperlink ref="N294" r:id="rId158" location="srp" xr:uid="{AF4A5169-22D5-0F41-98CC-5E941D6E785E}"/>
    <hyperlink ref="N293" r:id="rId159" xr:uid="{CAB918D8-AD1B-D241-AB6A-E7FFC6BD4DBA}"/>
    <hyperlink ref="N292" r:id="rId160" xr:uid="{15E8E38D-7143-1148-A553-952BAD7F1641}"/>
    <hyperlink ref="N296" r:id="rId161" xr:uid="{46497DD6-E2B8-BC4B-B665-E44E62A7A4F8}"/>
    <hyperlink ref="N297" r:id="rId162" xr:uid="{93AEF35D-F6D4-6847-91D6-FF2CF0B199B7}"/>
    <hyperlink ref="N298" r:id="rId163" xr:uid="{4EC1E8AB-D129-9746-970E-25F2057E0A1C}"/>
    <hyperlink ref="N299" r:id="rId164" xr:uid="{2C6C70D8-B00F-3E4A-BB1A-715119C0C478}"/>
    <hyperlink ref="N301" r:id="rId165" xr:uid="{B1B3D6E0-4803-5943-86CF-1489DA5857AB}"/>
    <hyperlink ref="N303" r:id="rId166" xr:uid="{6A6070A3-BD55-0841-8FB6-AF0CAFF00707}"/>
    <hyperlink ref="N304" r:id="rId167" xr:uid="{FD49F3F8-C525-A64C-904C-6A062812DE17}"/>
    <hyperlink ref="N305" r:id="rId168" xr:uid="{3FB4CCB5-488C-6F47-8B21-398F836D8587}"/>
    <hyperlink ref="N300" r:id="rId169" xr:uid="{0A857828-9884-FC43-A18D-94C521446106}"/>
    <hyperlink ref="N302" r:id="rId170" xr:uid="{59B9F13E-51B9-494F-AEA3-CDBC4609BD0E}"/>
    <hyperlink ref="N309" r:id="rId171" location="srp" xr:uid="{2E18845D-F2D9-4C4A-9FFA-6FED32A28C73}"/>
    <hyperlink ref="N308" r:id="rId172" location="srp" xr:uid="{95FEDFD3-D9AE-2144-AF26-1560C8128E7C}"/>
    <hyperlink ref="N307" r:id="rId173" xr:uid="{308728FC-85E7-434B-98B0-F890F5181F60}"/>
    <hyperlink ref="N306" r:id="rId174" xr:uid="{F8D9E749-667C-C748-B4B0-911A56D9AD4C}"/>
    <hyperlink ref="N310" r:id="rId175" xr:uid="{1DDEA86E-992F-D449-9D3A-625A133C8554}"/>
    <hyperlink ref="N311" r:id="rId176" xr:uid="{8236E471-B7B6-124C-8DC7-5CBB0B8538E0}"/>
    <hyperlink ref="N219" r:id="rId177" xr:uid="{9EFEBB90-2122-5747-B3A6-2782C5AA0683}"/>
    <hyperlink ref="N218" r:id="rId178" xr:uid="{DB7E01AC-640B-A247-B71C-3A740B9EE721}"/>
    <hyperlink ref="N226" r:id="rId179" xr:uid="{7D3A1CB9-052A-0145-B76F-B8DE41E3FFFB}"/>
    <hyperlink ref="N225" r:id="rId180" xr:uid="{A04F7356-ED0F-D444-B9CD-F05BA7997C47}"/>
    <hyperlink ref="N312" r:id="rId181" xr:uid="{22F8C342-43EE-3049-9509-DA42B7CE58CD}"/>
    <hyperlink ref="N313" r:id="rId182" xr:uid="{A8D1BA9D-C391-C747-82EF-8F37AED7C6A5}"/>
    <hyperlink ref="N315" r:id="rId183" xr:uid="{13CB472D-9F97-8746-8305-635D601BFFAA}"/>
    <hyperlink ref="N317" r:id="rId184" xr:uid="{E43E63E9-3978-E049-9B67-BD95EE3C3FD0}"/>
    <hyperlink ref="N318" r:id="rId185" xr:uid="{739D6C72-0D9E-7A46-BA6E-B7CEA21F994E}"/>
    <hyperlink ref="N319" r:id="rId186" xr:uid="{EF1062ED-D9E6-7348-85D9-76052A72FD12}"/>
    <hyperlink ref="N314" r:id="rId187" xr:uid="{60059FB4-6984-754B-B5E5-759EC2871D8B}"/>
    <hyperlink ref="N316" r:id="rId188" xr:uid="{B604D530-C1C6-3446-8291-C7B1FC9C0BD0}"/>
    <hyperlink ref="N323" r:id="rId189" location="srp" xr:uid="{6DD58F98-0B13-E143-8F39-F25C24B04F4A}"/>
    <hyperlink ref="N322" r:id="rId190" location="srp" xr:uid="{666DA2A9-497D-344E-907C-E6CCB3E5DA00}"/>
    <hyperlink ref="N321" r:id="rId191" xr:uid="{EF43BCA9-0A83-8648-87BD-2B4DE345574F}"/>
    <hyperlink ref="N320" r:id="rId192" xr:uid="{4798D81A-EEB1-A94F-B545-AD71408595FA}"/>
    <hyperlink ref="N324" r:id="rId193" xr:uid="{59591680-2121-4D49-BC2E-227CF5DD6B8F}"/>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5648D-1369-4945-B400-491E2C8310C4}">
  <dimension ref="B2:AN378"/>
  <sheetViews>
    <sheetView zoomScale="88" zoomScaleNormal="55" workbookViewId="0">
      <selection activeCell="L361" sqref="L361"/>
    </sheetView>
  </sheetViews>
  <sheetFormatPr defaultColWidth="10.625" defaultRowHeight="15.75"/>
  <cols>
    <col min="1" max="1" width="4" style="1" customWidth="1"/>
    <col min="2" max="2" width="32.125" style="1" customWidth="1"/>
    <col min="3" max="3" width="27.5" style="1" customWidth="1"/>
    <col min="4" max="4" width="21.125" style="2" customWidth="1"/>
    <col min="5" max="5" width="11.625" style="21" bestFit="1" customWidth="1"/>
    <col min="6" max="6" width="15.625" style="2" customWidth="1"/>
    <col min="7" max="7" width="24.125" style="1" customWidth="1"/>
    <col min="8" max="8" width="12.125" style="3" customWidth="1"/>
    <col min="9" max="9" width="11" style="32" customWidth="1"/>
    <col min="10" max="11" width="12.625" style="1" customWidth="1"/>
    <col min="12" max="12" width="21.625" style="4" customWidth="1"/>
    <col min="13" max="13" width="99.125" style="1" customWidth="1"/>
    <col min="14" max="14" width="97" style="1" customWidth="1"/>
    <col min="15" max="16384" width="10.625" style="1"/>
  </cols>
  <sheetData>
    <row r="2" spans="2:14" ht="20.100000000000001" customHeight="1">
      <c r="B2" s="552" t="s">
        <v>195</v>
      </c>
      <c r="C2" s="552"/>
      <c r="D2" s="552"/>
      <c r="E2" s="552"/>
      <c r="F2" s="552"/>
      <c r="G2" s="552"/>
      <c r="H2" s="552"/>
    </row>
    <row r="3" spans="2:14" ht="16.5" thickBot="1"/>
    <row r="4" spans="2:14" ht="21" customHeight="1">
      <c r="B4" s="38" t="s">
        <v>89</v>
      </c>
      <c r="C4" s="36">
        <f>DASHBOARD!D85</f>
        <v>338179</v>
      </c>
      <c r="D4" s="106" t="s">
        <v>295</v>
      </c>
      <c r="E4" s="21">
        <f>(IF(F23&gt;0,J23+J35,0)+IF(F47&gt;0,J47+J59,0)+IF(F71&gt;0,J71+J82,0)+IF(F94&gt;0,J94+J105,0))/(IF(F23&gt;0,1,0)+IF(F47&gt;0,1,0)+IF(F71&gt;0,1,0)+IF(F94&gt;0,1,0))</f>
        <v>14.790494623728868</v>
      </c>
      <c r="G4" s="553" t="str">
        <f>M362</f>
        <v>Per Person Cost is 127.15 and the cost per 338179 people is 42999827.77</v>
      </c>
      <c r="H4" s="553"/>
      <c r="I4" s="553"/>
      <c r="J4" s="553"/>
      <c r="K4" s="553"/>
      <c r="L4" s="553"/>
      <c r="M4" s="553"/>
    </row>
    <row r="5" spans="2:14" ht="18" customHeight="1">
      <c r="B5" s="44" t="s">
        <v>196</v>
      </c>
      <c r="C5" s="73">
        <f>C4-C4*DASHBOARD!AC16</f>
        <v>277461.56557527458</v>
      </c>
      <c r="D5" s="106"/>
    </row>
    <row r="6" spans="2:14" ht="22.35" customHeight="1">
      <c r="B6" s="44" t="s">
        <v>98</v>
      </c>
      <c r="C6" s="73">
        <f>DASHBOARD!D108</f>
        <v>14</v>
      </c>
      <c r="D6" s="106"/>
      <c r="G6" s="1">
        <v>59.4</v>
      </c>
    </row>
    <row r="7" spans="2:14" ht="20.100000000000001" customHeight="1">
      <c r="B7" s="44" t="s">
        <v>99</v>
      </c>
      <c r="C7" s="73">
        <f>DASHBOARD!D109</f>
        <v>2</v>
      </c>
      <c r="D7" s="106"/>
      <c r="G7" s="1">
        <v>59.4</v>
      </c>
    </row>
    <row r="8" spans="2:14" ht="19.350000000000001" customHeight="1">
      <c r="B8" s="39" t="s">
        <v>35</v>
      </c>
      <c r="C8" s="37">
        <f>DASHBOARD!D102</f>
        <v>5.1000000000000004E-4</v>
      </c>
      <c r="D8" s="106"/>
      <c r="G8" s="1">
        <v>59.3</v>
      </c>
    </row>
    <row r="9" spans="2:14" ht="20.100000000000001" customHeight="1">
      <c r="B9" s="81" t="s">
        <v>186</v>
      </c>
      <c r="C9" s="82">
        <f>DASHBOARD!D94</f>
        <v>15080</v>
      </c>
      <c r="D9" s="106"/>
      <c r="G9" s="1">
        <v>59.3</v>
      </c>
    </row>
    <row r="10" spans="2:14" ht="22.35" customHeight="1">
      <c r="B10" s="81" t="s">
        <v>187</v>
      </c>
      <c r="C10" s="82">
        <f>C9</f>
        <v>15080</v>
      </c>
      <c r="D10" s="106"/>
      <c r="G10" s="1">
        <v>59.2</v>
      </c>
    </row>
    <row r="11" spans="2:14" ht="21" customHeight="1">
      <c r="B11" s="81" t="s">
        <v>188</v>
      </c>
      <c r="C11" s="82">
        <f>C10-C13</f>
        <v>1634</v>
      </c>
      <c r="D11" s="106"/>
      <c r="G11" s="1">
        <v>59.2</v>
      </c>
    </row>
    <row r="12" spans="2:14" ht="20.100000000000001" customHeight="1">
      <c r="B12" s="81" t="s">
        <v>181</v>
      </c>
      <c r="C12" s="93">
        <f>C4/C9</f>
        <v>22.425663129973476</v>
      </c>
      <c r="D12" s="106"/>
    </row>
    <row r="13" spans="2:14" ht="20.100000000000001" customHeight="1">
      <c r="B13" s="81" t="s">
        <v>185</v>
      </c>
      <c r="C13" s="82">
        <f>DASHBOARD!D95</f>
        <v>13446</v>
      </c>
      <c r="D13" s="106"/>
    </row>
    <row r="14" spans="2:14" ht="32.25" thickBot="1">
      <c r="B14" s="40" t="s">
        <v>39</v>
      </c>
      <c r="C14" s="35" t="s">
        <v>248</v>
      </c>
      <c r="D14" s="106"/>
    </row>
    <row r="15" spans="2:14" ht="16.5" thickBot="1">
      <c r="B15" s="28"/>
      <c r="C15" s="28"/>
      <c r="D15" s="29"/>
      <c r="E15" s="18"/>
      <c r="F15" s="29"/>
      <c r="G15" s="28"/>
      <c r="H15" s="30"/>
      <c r="I15" s="33"/>
      <c r="J15" s="28"/>
      <c r="K15" s="28"/>
      <c r="L15" s="31"/>
      <c r="M15" s="28"/>
      <c r="N15" s="28"/>
    </row>
    <row r="16" spans="2:14" ht="63.75" thickBot="1">
      <c r="B16" s="45" t="s">
        <v>0</v>
      </c>
      <c r="C16" s="45" t="s">
        <v>85</v>
      </c>
      <c r="D16" s="45" t="s">
        <v>5</v>
      </c>
      <c r="E16" s="46" t="s">
        <v>1</v>
      </c>
      <c r="F16" s="45" t="s">
        <v>4</v>
      </c>
      <c r="G16" s="45" t="s">
        <v>19</v>
      </c>
      <c r="H16" s="47" t="s">
        <v>37</v>
      </c>
      <c r="I16" s="48" t="s">
        <v>42</v>
      </c>
      <c r="J16" s="45" t="s">
        <v>20</v>
      </c>
      <c r="K16" s="45" t="s">
        <v>459</v>
      </c>
      <c r="L16" s="49" t="s">
        <v>3</v>
      </c>
      <c r="M16" s="50" t="s">
        <v>36</v>
      </c>
      <c r="N16" s="86" t="s">
        <v>125</v>
      </c>
    </row>
    <row r="17" spans="2:39" ht="26.1" customHeight="1">
      <c r="B17" s="15" t="s">
        <v>2</v>
      </c>
      <c r="C17" s="8">
        <f>C4</f>
        <v>338179</v>
      </c>
      <c r="D17" s="13">
        <v>1</v>
      </c>
      <c r="E17" s="19">
        <v>1</v>
      </c>
      <c r="F17" s="13">
        <v>1</v>
      </c>
      <c r="G17" s="42" t="s">
        <v>14</v>
      </c>
      <c r="H17" s="7">
        <f>DASHBOARD!D35</f>
        <v>24.612000000000002</v>
      </c>
      <c r="I17" s="34">
        <v>8</v>
      </c>
      <c r="J17" s="71">
        <f>(DASHBOARD!D142*100/480)*(8/7)*DASHBOARD!$D$131</f>
        <v>0.23809523809523808</v>
      </c>
      <c r="K17" s="71">
        <f>I17*J17</f>
        <v>1.9047619047619047</v>
      </c>
      <c r="L17" s="6">
        <f>H17*I17*J17</f>
        <v>46.88</v>
      </c>
      <c r="M17" s="1" t="s">
        <v>250</v>
      </c>
      <c r="N17" s="87" t="s">
        <v>111</v>
      </c>
    </row>
    <row r="18" spans="2:39" ht="26.1" customHeight="1">
      <c r="B18" s="15"/>
      <c r="C18" s="8"/>
      <c r="D18" s="13"/>
      <c r="E18" s="19"/>
      <c r="F18" s="13"/>
      <c r="G18" s="42" t="s">
        <v>230</v>
      </c>
      <c r="H18" s="56">
        <f>DASHBOARD!D55</f>
        <v>32.963999999999999</v>
      </c>
      <c r="I18" s="34">
        <v>0</v>
      </c>
      <c r="J18" s="71">
        <f>J17/5</f>
        <v>4.7619047619047616E-2</v>
      </c>
      <c r="K18" s="71">
        <f t="shared" ref="K18:K21" si="0">I18*J18</f>
        <v>0</v>
      </c>
      <c r="L18" s="6">
        <f>H18*I18*J18</f>
        <v>0</v>
      </c>
      <c r="M18" s="1" t="s">
        <v>245</v>
      </c>
      <c r="N18" s="87" t="s">
        <v>244</v>
      </c>
    </row>
    <row r="19" spans="2:39" ht="26.1" customHeight="1">
      <c r="B19" s="15"/>
      <c r="C19" s="8"/>
      <c r="D19" s="13"/>
      <c r="E19" s="19"/>
      <c r="F19" s="13" t="s">
        <v>179</v>
      </c>
      <c r="G19" s="42" t="s">
        <v>14</v>
      </c>
      <c r="H19" s="7">
        <f>DASHBOARD!D35</f>
        <v>24.612000000000002</v>
      </c>
      <c r="I19" s="34">
        <v>8</v>
      </c>
      <c r="J19" s="71">
        <f>((DASHBOARD!D143/60)*C9+(DASHBOARD!D144/60)*C17/100)/8/(C17/100)*(8/7)</f>
        <v>0.38994121033957924</v>
      </c>
      <c r="K19" s="71">
        <f t="shared" si="0"/>
        <v>3.1195296827166339</v>
      </c>
      <c r="L19" s="6">
        <f>H19*I19*J19</f>
        <v>76.777864551021793</v>
      </c>
      <c r="M19" s="1" t="s">
        <v>182</v>
      </c>
      <c r="N19" s="87"/>
    </row>
    <row r="20" spans="2:39" ht="26.1" customHeight="1">
      <c r="B20" s="15"/>
      <c r="C20" s="8"/>
      <c r="D20" s="13"/>
      <c r="E20" s="19"/>
      <c r="F20" s="13"/>
      <c r="G20" s="42" t="s">
        <v>17</v>
      </c>
      <c r="H20" s="3">
        <f>DASHBOARD!D36</f>
        <v>45.12</v>
      </c>
      <c r="I20" s="34">
        <f>I19</f>
        <v>8</v>
      </c>
      <c r="J20" s="71">
        <f>J19/2</f>
        <v>0.19497060516978962</v>
      </c>
      <c r="K20" s="71">
        <f t="shared" si="0"/>
        <v>1.5597648413583169</v>
      </c>
      <c r="L20" s="6">
        <f>H20*I20*J20</f>
        <v>70.376589642087254</v>
      </c>
      <c r="M20" s="1" t="s">
        <v>183</v>
      </c>
      <c r="N20" s="87"/>
      <c r="AK20" s="125"/>
      <c r="AL20" s="125"/>
      <c r="AM20" s="125"/>
    </row>
    <row r="21" spans="2:39" ht="38.1" customHeight="1">
      <c r="B21" s="15"/>
      <c r="C21" s="8"/>
      <c r="D21" s="13"/>
      <c r="E21" s="19"/>
      <c r="F21" s="13"/>
      <c r="G21" s="42" t="s">
        <v>180</v>
      </c>
      <c r="H21" s="7">
        <f>DASHBOARD!D53</f>
        <v>121.78799999999998</v>
      </c>
      <c r="I21" s="34">
        <f>I19</f>
        <v>8</v>
      </c>
      <c r="J21" s="71">
        <f>J19/2</f>
        <v>0.19497060516978962</v>
      </c>
      <c r="K21" s="71">
        <f t="shared" si="0"/>
        <v>1.5597648413583169</v>
      </c>
      <c r="L21" s="6">
        <f>H21*I21*J21</f>
        <v>189.96064049934668</v>
      </c>
      <c r="M21" s="1" t="s">
        <v>247</v>
      </c>
      <c r="N21" s="87" t="s">
        <v>246</v>
      </c>
      <c r="AK21" s="125"/>
      <c r="AL21" s="344"/>
      <c r="AM21" s="125"/>
    </row>
    <row r="22" spans="2:39" ht="22.35" customHeight="1" thickBot="1">
      <c r="B22" s="9" t="s">
        <v>7</v>
      </c>
      <c r="C22" s="10"/>
      <c r="D22" s="14"/>
      <c r="E22" s="20"/>
      <c r="F22" s="14"/>
      <c r="G22" s="10"/>
      <c r="H22" s="549" t="s">
        <v>81</v>
      </c>
      <c r="I22" s="549"/>
      <c r="J22" s="549"/>
      <c r="K22" s="243"/>
      <c r="L22" s="70">
        <f>(D17*F17*L17)+((D17*F17*SUM(L19:L21)))</f>
        <v>383.99509469245572</v>
      </c>
      <c r="M22" s="69" t="str">
        <f>"Per Person Cost is "&amp;ROUND(L22/100,2)&amp;" and the cost per "&amp;$C$4&amp;" people is "&amp;ROUND(L22/100*$C$4,2)</f>
        <v>Per Person Cost is 3.84 and the cost per 338179 people is 1298590.77</v>
      </c>
      <c r="AK22" s="125"/>
      <c r="AL22" s="344"/>
      <c r="AM22" s="125"/>
    </row>
    <row r="23" spans="2:39" ht="47.25">
      <c r="B23" s="16" t="s">
        <v>15</v>
      </c>
      <c r="C23" s="43">
        <f>C4</f>
        <v>338179</v>
      </c>
      <c r="D23" s="115">
        <f>(C5/C4)*DASHBOARD!$D$139</f>
        <v>0.82045770309591837</v>
      </c>
      <c r="E23" s="21" t="s">
        <v>266</v>
      </c>
      <c r="F23" s="2">
        <f>(1-DASHBOARD!$D$128)*(1-DASHBOARD!$D$123)</f>
        <v>1</v>
      </c>
      <c r="G23" s="42" t="s">
        <v>158</v>
      </c>
      <c r="H23" s="3">
        <f>DASHBOARD!$D$65</f>
        <v>42.91</v>
      </c>
      <c r="I23" s="32">
        <f>I25/8</f>
        <v>1</v>
      </c>
      <c r="J23" s="11">
        <f>J25</f>
        <v>14.790494623728868</v>
      </c>
      <c r="K23" s="11">
        <f>D23*F23*I23*J23</f>
        <v>12.134975246637117</v>
      </c>
      <c r="L23" s="6">
        <f t="shared" ref="L23:L118" si="1">H23*I23*J23</f>
        <v>634.66012430420574</v>
      </c>
      <c r="N23" s="87"/>
      <c r="AK23" s="125"/>
      <c r="AL23" s="344"/>
      <c r="AM23" s="125"/>
    </row>
    <row r="24" spans="2:39" ht="30" customHeight="1">
      <c r="B24" s="16"/>
      <c r="C24" s="5"/>
      <c r="F24" s="2" t="s">
        <v>468</v>
      </c>
      <c r="G24" s="42" t="s">
        <v>14</v>
      </c>
      <c r="H24" s="3">
        <f>DASHBOARD!$D$35</f>
        <v>24.612000000000002</v>
      </c>
      <c r="I24" s="32">
        <v>8</v>
      </c>
      <c r="J24" s="11">
        <f>J25</f>
        <v>14.790494623728868</v>
      </c>
      <c r="K24" s="11">
        <f>D23*F23*I24*J24</f>
        <v>97.079801973096934</v>
      </c>
      <c r="L24" s="6">
        <f t="shared" si="1"/>
        <v>2912.1892294337194</v>
      </c>
      <c r="M24" s="1" t="s">
        <v>197</v>
      </c>
      <c r="N24" s="87"/>
      <c r="AK24" s="125"/>
      <c r="AL24" s="345"/>
      <c r="AM24" s="125"/>
    </row>
    <row r="25" spans="2:39" ht="47.25">
      <c r="B25" s="16"/>
      <c r="C25" s="5"/>
      <c r="F25" s="2" t="s">
        <v>468</v>
      </c>
      <c r="G25" s="42" t="s">
        <v>17</v>
      </c>
      <c r="H25" s="3">
        <f>DASHBOARD!$D$36</f>
        <v>45.12</v>
      </c>
      <c r="I25" s="32">
        <v>8</v>
      </c>
      <c r="J25" s="11">
        <f>((45*$C$11+DASHBOARD!D147*$C$5))/($C$23*(C5/C4))*100/60*(8/7)</f>
        <v>14.790494623728868</v>
      </c>
      <c r="K25" s="11">
        <f>D23*F23*I25*J25</f>
        <v>97.079801973096934</v>
      </c>
      <c r="L25" s="6">
        <f t="shared" si="1"/>
        <v>5338.7769393811723</v>
      </c>
      <c r="M25" s="1" t="s">
        <v>198</v>
      </c>
      <c r="N25" s="87"/>
      <c r="AK25" s="125"/>
      <c r="AL25" s="345"/>
      <c r="AM25" s="125"/>
    </row>
    <row r="26" spans="2:39">
      <c r="B26" s="16"/>
      <c r="C26" s="5"/>
      <c r="G26" s="42" t="s">
        <v>202</v>
      </c>
      <c r="H26" s="3">
        <f>DASHBOARD!$D$78</f>
        <v>0</v>
      </c>
      <c r="I26" s="32">
        <v>1</v>
      </c>
      <c r="J26" s="11">
        <v>100</v>
      </c>
      <c r="K26" s="11"/>
      <c r="L26" s="6">
        <f t="shared" si="1"/>
        <v>0</v>
      </c>
      <c r="N26" s="87"/>
      <c r="AK26" s="125"/>
      <c r="AL26" s="345"/>
      <c r="AM26" s="125"/>
    </row>
    <row r="27" spans="2:39">
      <c r="B27" s="16"/>
      <c r="C27" s="5"/>
      <c r="G27" s="72" t="s">
        <v>199</v>
      </c>
      <c r="H27" s="3">
        <f>DASHBOARD!$D$77</f>
        <v>100.99</v>
      </c>
      <c r="I27" s="32">
        <v>1</v>
      </c>
      <c r="J27" s="11">
        <f>J23/8</f>
        <v>1.8488118279661085</v>
      </c>
      <c r="K27" s="11"/>
      <c r="L27" s="6">
        <f t="shared" si="1"/>
        <v>186.7115065062973</v>
      </c>
      <c r="M27" s="1" t="s">
        <v>200</v>
      </c>
      <c r="N27" s="88" t="s">
        <v>201</v>
      </c>
      <c r="AK27" s="125"/>
      <c r="AL27" s="345"/>
      <c r="AM27" s="125"/>
    </row>
    <row r="28" spans="2:39">
      <c r="B28" s="16"/>
      <c r="C28" s="5"/>
      <c r="G28" s="5" t="s">
        <v>8</v>
      </c>
      <c r="H28" s="7">
        <f>DASHBOARD!$D$56</f>
        <v>0.16259999999999999</v>
      </c>
      <c r="I28" s="34">
        <v>1</v>
      </c>
      <c r="J28" s="11">
        <f>4*J24</f>
        <v>59.161978494915473</v>
      </c>
      <c r="K28" s="11"/>
      <c r="L28" s="6">
        <f t="shared" si="1"/>
        <v>9.6197377032732554</v>
      </c>
      <c r="M28" s="1" t="s">
        <v>121</v>
      </c>
      <c r="N28" s="87" t="s">
        <v>116</v>
      </c>
      <c r="AK28" s="125"/>
      <c r="AL28" s="345"/>
      <c r="AM28" s="125"/>
    </row>
    <row r="29" spans="2:39">
      <c r="B29" s="16"/>
      <c r="C29" s="5"/>
      <c r="G29" s="5" t="s">
        <v>41</v>
      </c>
      <c r="H29" s="7">
        <f>DASHBOARD!$D$57</f>
        <v>3.95</v>
      </c>
      <c r="I29" s="34">
        <v>1</v>
      </c>
      <c r="J29" s="11">
        <f>(4*J25)</f>
        <v>59.161978494915473</v>
      </c>
      <c r="K29" s="12"/>
      <c r="L29" s="6">
        <f t="shared" si="1"/>
        <v>233.68981505491612</v>
      </c>
      <c r="M29" s="1" t="s">
        <v>122</v>
      </c>
      <c r="N29" s="87" t="s">
        <v>117</v>
      </c>
      <c r="AK29" s="125"/>
      <c r="AL29" s="345"/>
      <c r="AM29" s="125"/>
    </row>
    <row r="30" spans="2:39">
      <c r="B30" s="16"/>
      <c r="C30" s="5"/>
      <c r="G30" s="5" t="s">
        <v>9</v>
      </c>
      <c r="H30" s="7">
        <f>DASHBOARD!$D$58</f>
        <v>13.95</v>
      </c>
      <c r="I30" s="34">
        <v>1</v>
      </c>
      <c r="J30" s="11">
        <f>(4*J25)</f>
        <v>59.161978494915473</v>
      </c>
      <c r="K30" s="12"/>
      <c r="L30" s="6">
        <f t="shared" si="1"/>
        <v>825.30960000407083</v>
      </c>
      <c r="M30" s="1" t="s">
        <v>122</v>
      </c>
      <c r="N30" s="87" t="s">
        <v>118</v>
      </c>
      <c r="AK30" s="125"/>
      <c r="AL30" s="344"/>
      <c r="AM30" s="125"/>
    </row>
    <row r="31" spans="2:39" ht="31.5">
      <c r="B31" s="16" t="s">
        <v>276</v>
      </c>
      <c r="C31" s="5"/>
      <c r="G31" s="5" t="s">
        <v>16</v>
      </c>
      <c r="H31" s="7">
        <f>DASHBOARD!$D$59</f>
        <v>0.23960000000000001</v>
      </c>
      <c r="I31" s="34">
        <v>1</v>
      </c>
      <c r="J31" s="12">
        <f>(4*J24)+100</f>
        <v>159.16197849491547</v>
      </c>
      <c r="K31" s="5"/>
      <c r="L31" s="6">
        <f t="shared" si="1"/>
        <v>38.135210047381747</v>
      </c>
      <c r="M31" s="1" t="s">
        <v>123</v>
      </c>
      <c r="N31" s="87" t="s">
        <v>119</v>
      </c>
      <c r="AK31" s="125"/>
      <c r="AL31" s="344"/>
      <c r="AM31" s="125"/>
    </row>
    <row r="32" spans="2:39" ht="31.5">
      <c r="B32" s="16" t="s">
        <v>259</v>
      </c>
      <c r="C32" s="5"/>
      <c r="G32" s="5" t="s">
        <v>10</v>
      </c>
      <c r="H32" s="7">
        <f>DASHBOARD!$D$60</f>
        <v>1.7004999999999999</v>
      </c>
      <c r="I32" s="34">
        <v>1</v>
      </c>
      <c r="J32" s="12">
        <f>100</f>
        <v>100</v>
      </c>
      <c r="K32" s="5"/>
      <c r="L32" s="6">
        <f t="shared" si="1"/>
        <v>170.04999999999998</v>
      </c>
      <c r="M32" s="1" t="s">
        <v>124</v>
      </c>
      <c r="N32" s="87" t="s">
        <v>119</v>
      </c>
      <c r="AK32" s="125"/>
      <c r="AL32" s="344"/>
      <c r="AM32" s="125"/>
    </row>
    <row r="33" spans="2:40">
      <c r="B33" s="16"/>
      <c r="C33" s="5"/>
      <c r="G33" s="5" t="s">
        <v>144</v>
      </c>
      <c r="H33" s="7">
        <f>DASHBOARD!$D$61</f>
        <v>3.32</v>
      </c>
      <c r="I33" s="34">
        <v>1</v>
      </c>
      <c r="J33" s="5">
        <v>100</v>
      </c>
      <c r="K33" s="5"/>
      <c r="L33" s="6">
        <f t="shared" si="1"/>
        <v>332</v>
      </c>
      <c r="M33" s="1" t="s">
        <v>145</v>
      </c>
      <c r="N33" s="89" t="s">
        <v>147</v>
      </c>
      <c r="AK33" s="125"/>
      <c r="AL33" s="345"/>
      <c r="AM33" s="125"/>
    </row>
    <row r="34" spans="2:40">
      <c r="B34" s="16"/>
      <c r="C34" s="5"/>
      <c r="G34" s="5" t="s">
        <v>11</v>
      </c>
      <c r="H34" s="7">
        <f>DASHBOARD!$D$62</f>
        <v>0.72</v>
      </c>
      <c r="I34" s="34">
        <v>1</v>
      </c>
      <c r="J34" s="5">
        <f>100</f>
        <v>100</v>
      </c>
      <c r="K34" s="5"/>
      <c r="L34" s="6">
        <f t="shared" si="1"/>
        <v>72</v>
      </c>
      <c r="M34" s="1" t="s">
        <v>146</v>
      </c>
      <c r="N34" s="89" t="s">
        <v>148</v>
      </c>
      <c r="AK34" s="125"/>
      <c r="AL34" s="345"/>
      <c r="AM34" s="125"/>
    </row>
    <row r="35" spans="2:40">
      <c r="B35" s="16"/>
      <c r="C35" s="5"/>
      <c r="F35" s="119">
        <f>DASHBOARD!$D$110</f>
        <v>0</v>
      </c>
      <c r="G35" s="120" t="s">
        <v>17</v>
      </c>
      <c r="H35" s="121">
        <f>DASHBOARD!$D$36</f>
        <v>45.12</v>
      </c>
      <c r="I35" s="122">
        <v>8</v>
      </c>
      <c r="J35" s="120">
        <f>0.625*F35*(8/7)</f>
        <v>0</v>
      </c>
      <c r="K35" s="120"/>
      <c r="L35" s="123">
        <f>F35*H35*I35*J35</f>
        <v>0</v>
      </c>
      <c r="M35" s="1" t="s">
        <v>287</v>
      </c>
      <c r="N35" s="89"/>
      <c r="AK35" s="125"/>
      <c r="AL35" s="344"/>
      <c r="AM35" s="125"/>
      <c r="AN35" s="342"/>
    </row>
    <row r="36" spans="2:40">
      <c r="B36" s="16"/>
      <c r="C36" s="5"/>
      <c r="F36" s="124" t="s">
        <v>281</v>
      </c>
      <c r="G36" s="120" t="s">
        <v>14</v>
      </c>
      <c r="H36" s="121">
        <f>DASHBOARD!$D$35</f>
        <v>24.612000000000002</v>
      </c>
      <c r="I36" s="122">
        <v>8</v>
      </c>
      <c r="J36" s="120">
        <f>0.625*(8/7)</f>
        <v>0.71428571428571419</v>
      </c>
      <c r="K36" s="120"/>
      <c r="L36" s="123">
        <f>F35*H36*I36*J36</f>
        <v>0</v>
      </c>
      <c r="M36" s="1" t="s">
        <v>287</v>
      </c>
      <c r="N36" s="89"/>
      <c r="AK36" s="125"/>
      <c r="AL36" s="344"/>
      <c r="AM36" s="125"/>
      <c r="AN36" s="342"/>
    </row>
    <row r="37" spans="2:40">
      <c r="B37" s="16"/>
      <c r="C37" s="5"/>
      <c r="F37" s="124"/>
      <c r="G37" s="120" t="s">
        <v>291</v>
      </c>
      <c r="H37" s="121">
        <f>DASHBOARD!$D$59</f>
        <v>0.23960000000000001</v>
      </c>
      <c r="I37" s="122">
        <v>1</v>
      </c>
      <c r="J37" s="120">
        <v>100</v>
      </c>
      <c r="K37" s="120"/>
      <c r="L37" s="123">
        <f>F35*H37*I37*J37</f>
        <v>0</v>
      </c>
      <c r="N37" s="89"/>
      <c r="AK37" s="125"/>
      <c r="AL37" s="344"/>
      <c r="AM37" s="125"/>
    </row>
    <row r="38" spans="2:40">
      <c r="B38" s="16"/>
      <c r="C38" s="5"/>
      <c r="F38" s="119"/>
      <c r="G38" s="120" t="s">
        <v>284</v>
      </c>
      <c r="H38" s="121">
        <v>10</v>
      </c>
      <c r="I38" s="122">
        <v>1</v>
      </c>
      <c r="J38" s="120">
        <v>100</v>
      </c>
      <c r="K38" s="120"/>
      <c r="L38" s="123">
        <f>F35*H38*I38*J38</f>
        <v>0</v>
      </c>
      <c r="M38" s="1" t="s">
        <v>290</v>
      </c>
      <c r="N38" s="89"/>
      <c r="AK38" s="125"/>
      <c r="AL38" s="344"/>
      <c r="AM38" s="125"/>
    </row>
    <row r="39" spans="2:40">
      <c r="B39" s="16"/>
      <c r="C39" s="5"/>
      <c r="F39" s="119"/>
      <c r="G39" s="120" t="s">
        <v>283</v>
      </c>
      <c r="H39" s="121">
        <v>0.84</v>
      </c>
      <c r="I39" s="122">
        <v>1</v>
      </c>
      <c r="J39" s="120">
        <v>100</v>
      </c>
      <c r="K39" s="120"/>
      <c r="L39" s="123">
        <f>F35*H39*I39*J39</f>
        <v>0</v>
      </c>
      <c r="M39" s="1" t="s">
        <v>288</v>
      </c>
      <c r="N39" s="88" t="s">
        <v>289</v>
      </c>
      <c r="AK39" s="125"/>
      <c r="AL39" s="346"/>
      <c r="AM39" s="125"/>
    </row>
    <row r="40" spans="2:40">
      <c r="B40" s="17"/>
      <c r="F40" s="154">
        <f>DASHBOARD!$D$112</f>
        <v>0</v>
      </c>
      <c r="G40" s="155" t="s">
        <v>386</v>
      </c>
      <c r="H40" s="156">
        <f>DASHBOARD!$D$42</f>
        <v>30</v>
      </c>
      <c r="I40" s="157">
        <v>8</v>
      </c>
      <c r="J40" s="155">
        <f>((DASHBOARD!$D$113*100)/480)*(8/7)</f>
        <v>1.1904761904761905</v>
      </c>
      <c r="K40" s="155">
        <f>D23*F40*F23*I40*J40</f>
        <v>0</v>
      </c>
      <c r="L40" s="158">
        <f>F40*H40*I40*J40</f>
        <v>0</v>
      </c>
      <c r="M40" s="1" t="s">
        <v>460</v>
      </c>
      <c r="N40" s="88" t="s">
        <v>387</v>
      </c>
      <c r="AK40" s="125"/>
      <c r="AL40" s="344"/>
      <c r="AM40" s="125"/>
    </row>
    <row r="41" spans="2:40">
      <c r="B41" s="17"/>
      <c r="F41" s="159" t="s">
        <v>281</v>
      </c>
      <c r="G41" s="155" t="s">
        <v>382</v>
      </c>
      <c r="H41" s="156">
        <f>DASHBOARD!$D$59</f>
        <v>0.23960000000000001</v>
      </c>
      <c r="I41" s="157">
        <v>1</v>
      </c>
      <c r="J41" s="155">
        <v>100</v>
      </c>
      <c r="K41" s="155"/>
      <c r="L41" s="158">
        <f>F40*H41*I41*J41</f>
        <v>0</v>
      </c>
      <c r="M41" s="1" t="s">
        <v>388</v>
      </c>
      <c r="N41" s="88"/>
      <c r="AK41" s="125"/>
      <c r="AL41" s="344"/>
      <c r="AM41" s="125"/>
    </row>
    <row r="42" spans="2:40">
      <c r="B42" s="17"/>
      <c r="F42" s="159" t="s">
        <v>380</v>
      </c>
      <c r="G42" s="155" t="s">
        <v>383</v>
      </c>
      <c r="H42" s="156">
        <f>DASHBOARD!$D$60</f>
        <v>1.7004999999999999</v>
      </c>
      <c r="I42" s="157">
        <v>1</v>
      </c>
      <c r="J42" s="155">
        <v>100</v>
      </c>
      <c r="K42" s="155"/>
      <c r="L42" s="158">
        <f>F40*H42*I42*J42</f>
        <v>0</v>
      </c>
      <c r="M42" s="1" t="s">
        <v>388</v>
      </c>
      <c r="N42" s="88"/>
      <c r="AK42" s="125"/>
      <c r="AL42" s="345"/>
      <c r="AM42" s="125"/>
    </row>
    <row r="43" spans="2:40">
      <c r="B43" s="17"/>
      <c r="F43" s="154"/>
      <c r="G43" s="155" t="s">
        <v>41</v>
      </c>
      <c r="H43" s="156">
        <f>DASHBOARD!$D$57</f>
        <v>3.95</v>
      </c>
      <c r="I43" s="157">
        <v>1</v>
      </c>
      <c r="J43" s="155">
        <f>I40*J40/2</f>
        <v>4.7619047619047619</v>
      </c>
      <c r="K43" s="155"/>
      <c r="L43" s="158">
        <f>F40*H43*I43*J43</f>
        <v>0</v>
      </c>
      <c r="M43" s="1" t="s">
        <v>385</v>
      </c>
      <c r="N43" s="88"/>
      <c r="AK43" s="125"/>
      <c r="AL43" s="344"/>
      <c r="AM43" s="125"/>
      <c r="AN43" s="343"/>
    </row>
    <row r="44" spans="2:40">
      <c r="B44" s="17"/>
      <c r="F44" s="154"/>
      <c r="G44" s="155" t="s">
        <v>384</v>
      </c>
      <c r="H44" s="156">
        <f>DASHBOARD!$D$58</f>
        <v>13.95</v>
      </c>
      <c r="I44" s="157">
        <v>1</v>
      </c>
      <c r="J44" s="155">
        <f>I40*J40/2</f>
        <v>4.7619047619047619</v>
      </c>
      <c r="K44" s="155"/>
      <c r="L44" s="158">
        <f>F40*H44*I44*J44</f>
        <v>0</v>
      </c>
      <c r="M44" s="1" t="s">
        <v>385</v>
      </c>
      <c r="N44" s="88"/>
      <c r="AK44" s="125"/>
      <c r="AL44" s="125"/>
      <c r="AM44" s="125"/>
      <c r="AN44" s="343"/>
    </row>
    <row r="45" spans="2:40">
      <c r="B45" s="17"/>
      <c r="F45" s="154"/>
      <c r="G45" s="155" t="s">
        <v>389</v>
      </c>
      <c r="H45" s="156">
        <f>DASHBOARD!$D$71</f>
        <v>2.2799999999999998</v>
      </c>
      <c r="I45" s="157">
        <v>1</v>
      </c>
      <c r="J45" s="155">
        <v>100</v>
      </c>
      <c r="K45" s="155"/>
      <c r="L45" s="158">
        <f>F40*H45*I45*J45</f>
        <v>0</v>
      </c>
      <c r="M45" s="1" t="s">
        <v>390</v>
      </c>
      <c r="N45" s="88" t="s">
        <v>391</v>
      </c>
      <c r="AK45" s="125"/>
      <c r="AL45" s="125"/>
      <c r="AM45" s="125"/>
    </row>
    <row r="46" spans="2:40">
      <c r="B46" s="17"/>
      <c r="F46" s="154"/>
      <c r="G46" s="155" t="s">
        <v>392</v>
      </c>
      <c r="H46" s="156">
        <f>DASHBOARD!$D$72</f>
        <v>0.39</v>
      </c>
      <c r="I46" s="157">
        <v>1</v>
      </c>
      <c r="J46" s="155">
        <v>100</v>
      </c>
      <c r="K46" s="155"/>
      <c r="L46" s="158">
        <f>F40*H46*I46*J46</f>
        <v>0</v>
      </c>
      <c r="M46" s="1" t="s">
        <v>393</v>
      </c>
      <c r="N46" s="88" t="s">
        <v>394</v>
      </c>
    </row>
    <row r="47" spans="2:40">
      <c r="B47" s="16"/>
      <c r="C47" s="5"/>
      <c r="F47" s="2">
        <f>(1-DASHBOARD!$D$128)*DASHBOARD!$D$123</f>
        <v>0</v>
      </c>
      <c r="G47" s="42" t="s">
        <v>158</v>
      </c>
      <c r="H47" s="3">
        <f>DASHBOARD!$D$65</f>
        <v>42.91</v>
      </c>
      <c r="I47" s="32">
        <f>I49/8</f>
        <v>1</v>
      </c>
      <c r="J47" s="11">
        <f>J49</f>
        <v>14.790494623728868</v>
      </c>
      <c r="K47" s="11">
        <f>D23*F47*I47*J47</f>
        <v>0</v>
      </c>
      <c r="L47" s="6">
        <f t="shared" ref="L47:L104" si="2">H47*I47*J47</f>
        <v>634.66012430420574</v>
      </c>
      <c r="N47" s="87"/>
    </row>
    <row r="48" spans="2:40">
      <c r="B48" s="16"/>
      <c r="C48" s="5"/>
      <c r="F48" s="2" t="s">
        <v>468</v>
      </c>
      <c r="G48" s="42" t="s">
        <v>14</v>
      </c>
      <c r="H48" s="3">
        <f>DASHBOARD!$D$35</f>
        <v>24.612000000000002</v>
      </c>
      <c r="I48" s="32">
        <v>8</v>
      </c>
      <c r="J48" s="11">
        <f>J49</f>
        <v>14.790494623728868</v>
      </c>
      <c r="K48" s="11">
        <f>D23*F47*I48*J48</f>
        <v>0</v>
      </c>
      <c r="L48" s="6">
        <f t="shared" si="2"/>
        <v>2912.1892294337194</v>
      </c>
      <c r="M48" s="1" t="s">
        <v>256</v>
      </c>
      <c r="N48" s="87"/>
    </row>
    <row r="49" spans="2:14">
      <c r="B49" s="16"/>
      <c r="C49" s="5"/>
      <c r="F49" s="2" t="s">
        <v>468</v>
      </c>
      <c r="G49" s="42" t="s">
        <v>17</v>
      </c>
      <c r="H49" s="3">
        <f>DASHBOARD!$D$36</f>
        <v>45.12</v>
      </c>
      <c r="I49" s="32">
        <v>8</v>
      </c>
      <c r="J49" s="11">
        <f>((45*$C$11+DASHBOARD!D147*$C$5))/($C$23*(C5/C4))*100/60*(8/7)</f>
        <v>14.790494623728868</v>
      </c>
      <c r="K49" s="11">
        <f>D23*F47*I49*J49</f>
        <v>0</v>
      </c>
      <c r="L49" s="6">
        <f t="shared" si="2"/>
        <v>5338.7769393811723</v>
      </c>
      <c r="M49" s="1" t="s">
        <v>256</v>
      </c>
      <c r="N49" s="87"/>
    </row>
    <row r="50" spans="2:14">
      <c r="B50" s="16"/>
      <c r="C50" s="5"/>
      <c r="G50" s="42" t="s">
        <v>202</v>
      </c>
      <c r="H50" s="3">
        <f>DASHBOARD!$D$78</f>
        <v>0</v>
      </c>
      <c r="I50" s="32">
        <v>1</v>
      </c>
      <c r="J50" s="11">
        <v>100</v>
      </c>
      <c r="K50" s="11"/>
      <c r="L50" s="6">
        <f t="shared" si="2"/>
        <v>0</v>
      </c>
      <c r="N50" s="87"/>
    </row>
    <row r="51" spans="2:14">
      <c r="B51" s="16"/>
      <c r="C51" s="5"/>
      <c r="G51" s="72" t="s">
        <v>199</v>
      </c>
      <c r="H51" s="3">
        <f>DASHBOARD!$D$77</f>
        <v>100.99</v>
      </c>
      <c r="I51" s="32">
        <v>1</v>
      </c>
      <c r="J51" s="11">
        <f>J47/8</f>
        <v>1.8488118279661085</v>
      </c>
      <c r="K51" s="11"/>
      <c r="L51" s="6">
        <f t="shared" si="2"/>
        <v>186.7115065062973</v>
      </c>
      <c r="M51" s="1" t="s">
        <v>200</v>
      </c>
      <c r="N51" s="88" t="s">
        <v>201</v>
      </c>
    </row>
    <row r="52" spans="2:14">
      <c r="B52" s="16"/>
      <c r="C52" s="5"/>
      <c r="G52" s="5" t="s">
        <v>8</v>
      </c>
      <c r="H52" s="7">
        <f>DASHBOARD!$D$56</f>
        <v>0.16259999999999999</v>
      </c>
      <c r="I52" s="34">
        <v>1</v>
      </c>
      <c r="J52" s="11">
        <f>4*J48</f>
        <v>59.161978494915473</v>
      </c>
      <c r="K52" s="11"/>
      <c r="L52" s="6">
        <f t="shared" si="2"/>
        <v>9.6197377032732554</v>
      </c>
      <c r="M52" s="1" t="s">
        <v>121</v>
      </c>
      <c r="N52" s="87" t="s">
        <v>116</v>
      </c>
    </row>
    <row r="53" spans="2:14">
      <c r="B53" s="16"/>
      <c r="C53" s="5"/>
      <c r="G53" s="5" t="s">
        <v>41</v>
      </c>
      <c r="H53" s="7">
        <f>DASHBOARD!$D$57</f>
        <v>3.95</v>
      </c>
      <c r="I53" s="34">
        <v>1</v>
      </c>
      <c r="J53" s="11">
        <f>(4*J49)</f>
        <v>59.161978494915473</v>
      </c>
      <c r="K53" s="11"/>
      <c r="L53" s="6">
        <f t="shared" si="2"/>
        <v>233.68981505491612</v>
      </c>
      <c r="M53" s="1" t="s">
        <v>122</v>
      </c>
      <c r="N53" s="87" t="s">
        <v>117</v>
      </c>
    </row>
    <row r="54" spans="2:14">
      <c r="B54" s="16"/>
      <c r="C54" s="5"/>
      <c r="G54" s="5" t="s">
        <v>9</v>
      </c>
      <c r="H54" s="7">
        <f>DASHBOARD!$D$58</f>
        <v>13.95</v>
      </c>
      <c r="I54" s="34">
        <v>1</v>
      </c>
      <c r="J54" s="11">
        <f>(4*J49)</f>
        <v>59.161978494915473</v>
      </c>
      <c r="K54" s="11"/>
      <c r="L54" s="6">
        <f t="shared" si="2"/>
        <v>825.30960000407083</v>
      </c>
      <c r="M54" s="1" t="s">
        <v>122</v>
      </c>
      <c r="N54" s="87" t="s">
        <v>118</v>
      </c>
    </row>
    <row r="55" spans="2:14">
      <c r="B55" s="16"/>
      <c r="C55" s="5"/>
      <c r="G55" s="5" t="s">
        <v>16</v>
      </c>
      <c r="H55" s="7">
        <f>DASHBOARD!$D$59</f>
        <v>0.23960000000000001</v>
      </c>
      <c r="I55" s="34">
        <v>1</v>
      </c>
      <c r="J55" s="12">
        <f>(4*J48)+100</f>
        <v>159.16197849491547</v>
      </c>
      <c r="K55" s="12"/>
      <c r="L55" s="6">
        <f t="shared" si="2"/>
        <v>38.135210047381747</v>
      </c>
      <c r="M55" s="1" t="s">
        <v>123</v>
      </c>
      <c r="N55" s="87" t="s">
        <v>119</v>
      </c>
    </row>
    <row r="56" spans="2:14">
      <c r="B56" s="16"/>
      <c r="C56" s="5"/>
      <c r="G56" s="5" t="s">
        <v>10</v>
      </c>
      <c r="H56" s="7">
        <f>DASHBOARD!$D$60</f>
        <v>1.7004999999999999</v>
      </c>
      <c r="I56" s="34">
        <v>1</v>
      </c>
      <c r="J56" s="12">
        <f>100</f>
        <v>100</v>
      </c>
      <c r="K56" s="12"/>
      <c r="L56" s="6">
        <f t="shared" si="2"/>
        <v>170.04999999999998</v>
      </c>
      <c r="M56" s="1" t="s">
        <v>124</v>
      </c>
      <c r="N56" s="87" t="s">
        <v>119</v>
      </c>
    </row>
    <row r="57" spans="2:14">
      <c r="B57" s="16"/>
      <c r="C57" s="5"/>
      <c r="G57" s="5" t="s">
        <v>144</v>
      </c>
      <c r="H57" s="7">
        <f>DASHBOARD!$D$61</f>
        <v>3.32</v>
      </c>
      <c r="I57" s="34">
        <v>1</v>
      </c>
      <c r="J57" s="5">
        <v>100</v>
      </c>
      <c r="K57" s="5"/>
      <c r="L57" s="6">
        <f t="shared" si="2"/>
        <v>332</v>
      </c>
      <c r="M57" s="1" t="s">
        <v>145</v>
      </c>
      <c r="N57" s="89" t="s">
        <v>147</v>
      </c>
    </row>
    <row r="58" spans="2:14">
      <c r="B58" s="16"/>
      <c r="C58" s="5"/>
      <c r="G58" s="5" t="s">
        <v>11</v>
      </c>
      <c r="H58" s="7">
        <f>DASHBOARD!$D$62</f>
        <v>0.72</v>
      </c>
      <c r="I58" s="34">
        <v>1</v>
      </c>
      <c r="J58" s="5">
        <f>100</f>
        <v>100</v>
      </c>
      <c r="K58" s="5"/>
      <c r="L58" s="6">
        <f t="shared" si="2"/>
        <v>72</v>
      </c>
      <c r="M58" s="1" t="s">
        <v>146</v>
      </c>
      <c r="N58" s="89" t="s">
        <v>148</v>
      </c>
    </row>
    <row r="59" spans="2:14">
      <c r="B59" s="16"/>
      <c r="C59" s="5"/>
      <c r="F59" s="119">
        <f>DASHBOARD!$D$110</f>
        <v>0</v>
      </c>
      <c r="G59" s="120" t="s">
        <v>17</v>
      </c>
      <c r="H59" s="121">
        <f>DASHBOARD!$D$36</f>
        <v>45.12</v>
      </c>
      <c r="I59" s="122">
        <v>8</v>
      </c>
      <c r="J59" s="120">
        <f>0.625*F59*(8/7)</f>
        <v>0</v>
      </c>
      <c r="K59" s="120"/>
      <c r="L59" s="123">
        <f>F59*H59*I59*J59</f>
        <v>0</v>
      </c>
      <c r="M59" s="1" t="s">
        <v>287</v>
      </c>
      <c r="N59" s="89"/>
    </row>
    <row r="60" spans="2:14">
      <c r="B60" s="16"/>
      <c r="C60" s="5"/>
      <c r="F60" s="124" t="s">
        <v>281</v>
      </c>
      <c r="G60" s="120" t="s">
        <v>14</v>
      </c>
      <c r="H60" s="121">
        <f>DASHBOARD!$D$35</f>
        <v>24.612000000000002</v>
      </c>
      <c r="I60" s="122">
        <v>8</v>
      </c>
      <c r="J60" s="120">
        <f>0.625*(8/7)</f>
        <v>0.71428571428571419</v>
      </c>
      <c r="K60" s="120"/>
      <c r="L60" s="123">
        <f>F59*H60*I60*J60</f>
        <v>0</v>
      </c>
      <c r="M60" s="1" t="s">
        <v>287</v>
      </c>
      <c r="N60" s="89"/>
    </row>
    <row r="61" spans="2:14">
      <c r="B61" s="16"/>
      <c r="C61" s="5"/>
      <c r="F61" s="124"/>
      <c r="G61" s="120" t="s">
        <v>291</v>
      </c>
      <c r="H61" s="121">
        <f>DASHBOARD!$D$59</f>
        <v>0.23960000000000001</v>
      </c>
      <c r="I61" s="122">
        <v>1</v>
      </c>
      <c r="J61" s="120">
        <v>100</v>
      </c>
      <c r="K61" s="120"/>
      <c r="L61" s="123">
        <f>F59*H61*I61*J61</f>
        <v>0</v>
      </c>
      <c r="N61" s="89"/>
    </row>
    <row r="62" spans="2:14">
      <c r="B62" s="16"/>
      <c r="C62" s="5"/>
      <c r="F62" s="119"/>
      <c r="G62" s="120" t="s">
        <v>284</v>
      </c>
      <c r="H62" s="121">
        <v>10</v>
      </c>
      <c r="I62" s="122">
        <v>1</v>
      </c>
      <c r="J62" s="120">
        <v>100</v>
      </c>
      <c r="K62" s="120"/>
      <c r="L62" s="123">
        <f>F59*H62*I62*J62</f>
        <v>0</v>
      </c>
      <c r="M62" s="1" t="s">
        <v>290</v>
      </c>
      <c r="N62" s="89"/>
    </row>
    <row r="63" spans="2:14">
      <c r="B63" s="16"/>
      <c r="C63" s="5"/>
      <c r="F63" s="119"/>
      <c r="G63" s="120" t="s">
        <v>283</v>
      </c>
      <c r="H63" s="121">
        <v>0.84</v>
      </c>
      <c r="I63" s="122">
        <v>1</v>
      </c>
      <c r="J63" s="120">
        <v>100</v>
      </c>
      <c r="K63" s="120"/>
      <c r="L63" s="123">
        <f>F59*H63*I63*J63</f>
        <v>0</v>
      </c>
      <c r="M63" s="1" t="s">
        <v>288</v>
      </c>
      <c r="N63" s="88" t="s">
        <v>289</v>
      </c>
    </row>
    <row r="64" spans="2:14">
      <c r="B64" s="17"/>
      <c r="F64" s="154">
        <f>DASHBOARD!$D$112</f>
        <v>0</v>
      </c>
      <c r="G64" s="155" t="s">
        <v>386</v>
      </c>
      <c r="H64" s="156">
        <f>DASHBOARD!$D$42</f>
        <v>30</v>
      </c>
      <c r="I64" s="157">
        <v>8</v>
      </c>
      <c r="J64" s="155">
        <f>((DASHBOARD!$D$113*100)/480)*(8/7)</f>
        <v>1.1904761904761905</v>
      </c>
      <c r="K64" s="155">
        <f>D27*F47*F64*I64*J64</f>
        <v>0</v>
      </c>
      <c r="L64" s="158">
        <f>F64*H64*I64*J64</f>
        <v>0</v>
      </c>
      <c r="M64" s="1" t="s">
        <v>460</v>
      </c>
      <c r="N64" s="88" t="s">
        <v>387</v>
      </c>
    </row>
    <row r="65" spans="2:14">
      <c r="B65" s="17"/>
      <c r="F65" s="159" t="s">
        <v>281</v>
      </c>
      <c r="G65" s="155" t="s">
        <v>382</v>
      </c>
      <c r="H65" s="156">
        <f>DASHBOARD!$D$59</f>
        <v>0.23960000000000001</v>
      </c>
      <c r="I65" s="157">
        <v>1</v>
      </c>
      <c r="J65" s="155">
        <v>100</v>
      </c>
      <c r="K65" s="155"/>
      <c r="L65" s="158">
        <f>F64*H65*I65*J65</f>
        <v>0</v>
      </c>
      <c r="M65" s="1" t="s">
        <v>388</v>
      </c>
      <c r="N65" s="88"/>
    </row>
    <row r="66" spans="2:14">
      <c r="B66" s="17"/>
      <c r="F66" s="159" t="s">
        <v>380</v>
      </c>
      <c r="G66" s="155" t="s">
        <v>383</v>
      </c>
      <c r="H66" s="156">
        <f>DASHBOARD!$D$60</f>
        <v>1.7004999999999999</v>
      </c>
      <c r="I66" s="157">
        <v>1</v>
      </c>
      <c r="J66" s="155">
        <v>100</v>
      </c>
      <c r="K66" s="155"/>
      <c r="L66" s="158">
        <f>F64*H66*I66*J66</f>
        <v>0</v>
      </c>
      <c r="M66" s="1" t="s">
        <v>388</v>
      </c>
      <c r="N66" s="88"/>
    </row>
    <row r="67" spans="2:14">
      <c r="B67" s="17"/>
      <c r="F67" s="154"/>
      <c r="G67" s="155" t="s">
        <v>41</v>
      </c>
      <c r="H67" s="156">
        <f>DASHBOARD!$D$57</f>
        <v>3.95</v>
      </c>
      <c r="I67" s="157">
        <v>1</v>
      </c>
      <c r="J67" s="155">
        <f>I64*J64/2</f>
        <v>4.7619047619047619</v>
      </c>
      <c r="K67" s="155"/>
      <c r="L67" s="158">
        <f>F64*H67*I67*J67</f>
        <v>0</v>
      </c>
      <c r="M67" s="1" t="s">
        <v>385</v>
      </c>
      <c r="N67" s="88"/>
    </row>
    <row r="68" spans="2:14">
      <c r="B68" s="17"/>
      <c r="F68" s="154"/>
      <c r="G68" s="155" t="s">
        <v>384</v>
      </c>
      <c r="H68" s="156">
        <f>DASHBOARD!$D$58</f>
        <v>13.95</v>
      </c>
      <c r="I68" s="157">
        <v>1</v>
      </c>
      <c r="J68" s="155">
        <f>I64*J64/2</f>
        <v>4.7619047619047619</v>
      </c>
      <c r="K68" s="155"/>
      <c r="L68" s="158">
        <f>F64*H68*I68*J68</f>
        <v>0</v>
      </c>
      <c r="M68" s="1" t="s">
        <v>385</v>
      </c>
      <c r="N68" s="88"/>
    </row>
    <row r="69" spans="2:14">
      <c r="B69" s="17"/>
      <c r="F69" s="154"/>
      <c r="G69" s="155" t="s">
        <v>389</v>
      </c>
      <c r="H69" s="156">
        <f>DASHBOARD!$D$71</f>
        <v>2.2799999999999998</v>
      </c>
      <c r="I69" s="157">
        <v>1</v>
      </c>
      <c r="J69" s="155">
        <v>100</v>
      </c>
      <c r="K69" s="155"/>
      <c r="L69" s="158">
        <f>F64*H69*I69*J69</f>
        <v>0</v>
      </c>
      <c r="M69" s="1" t="s">
        <v>390</v>
      </c>
      <c r="N69" s="88" t="s">
        <v>391</v>
      </c>
    </row>
    <row r="70" spans="2:14">
      <c r="B70" s="17"/>
      <c r="F70" s="154"/>
      <c r="G70" s="155" t="s">
        <v>392</v>
      </c>
      <c r="H70" s="156">
        <f>DASHBOARD!$D$72</f>
        <v>0.39</v>
      </c>
      <c r="I70" s="157">
        <v>1</v>
      </c>
      <c r="J70" s="155">
        <v>100</v>
      </c>
      <c r="K70" s="155"/>
      <c r="L70" s="158">
        <f>F64*H70*I70*J70</f>
        <v>0</v>
      </c>
      <c r="M70" s="1" t="s">
        <v>393</v>
      </c>
      <c r="N70" s="88" t="s">
        <v>394</v>
      </c>
    </row>
    <row r="71" spans="2:14">
      <c r="B71" s="16"/>
      <c r="C71" s="5"/>
      <c r="E71" s="21" t="s">
        <v>267</v>
      </c>
      <c r="F71" s="2">
        <f>DASHBOARD!$D$128*DASHBOARD!$D$123</f>
        <v>0</v>
      </c>
      <c r="G71" s="41" t="s">
        <v>229</v>
      </c>
      <c r="H71" s="3">
        <f>DASHBOARD!$D$65</f>
        <v>42.91</v>
      </c>
      <c r="I71" s="32">
        <f>I73/8</f>
        <v>1</v>
      </c>
      <c r="J71" s="71">
        <f>J73</f>
        <v>6.2190660523002972</v>
      </c>
      <c r="K71" s="11">
        <f>D23*F71*I71*J71</f>
        <v>0</v>
      </c>
      <c r="L71" s="6">
        <f>H71*I71*J71</f>
        <v>266.86012430420573</v>
      </c>
      <c r="N71" s="89"/>
    </row>
    <row r="72" spans="2:14">
      <c r="B72" s="16"/>
      <c r="C72" s="5"/>
      <c r="E72" s="1"/>
      <c r="F72" s="1" t="s">
        <v>468</v>
      </c>
      <c r="G72" s="42" t="s">
        <v>14</v>
      </c>
      <c r="H72" s="3">
        <f>DASHBOARD!$D$35</f>
        <v>24.612000000000002</v>
      </c>
      <c r="I72" s="32">
        <v>8</v>
      </c>
      <c r="J72" s="11">
        <f>J73</f>
        <v>6.2190660523002972</v>
      </c>
      <c r="K72" s="11">
        <f>D23*F71*I72*J72</f>
        <v>0</v>
      </c>
      <c r="L72" s="6">
        <f t="shared" si="2"/>
        <v>1224.5092294337194</v>
      </c>
      <c r="M72" s="72" t="s">
        <v>274</v>
      </c>
      <c r="N72" s="87" t="s">
        <v>111</v>
      </c>
    </row>
    <row r="73" spans="2:14" ht="31.5">
      <c r="B73" s="16"/>
      <c r="C73" s="5"/>
      <c r="F73" s="2" t="s">
        <v>468</v>
      </c>
      <c r="G73" s="42" t="s">
        <v>6</v>
      </c>
      <c r="H73" s="3">
        <f>DASHBOARD!$D$40</f>
        <v>24.276</v>
      </c>
      <c r="I73" s="32">
        <v>8</v>
      </c>
      <c r="J73" s="11">
        <f>((45*$C$11+(DASHBOARD!D148/2)*$C$5))/($C$23*(C5/C4))*100/60*(8/7)</f>
        <v>6.2190660523002972</v>
      </c>
      <c r="K73" s="11">
        <f>D23*F71*I73*J73</f>
        <v>0</v>
      </c>
      <c r="L73" s="6">
        <f t="shared" si="2"/>
        <v>1207.7923798851361</v>
      </c>
      <c r="M73" s="1" t="s">
        <v>268</v>
      </c>
      <c r="N73" s="87" t="s">
        <v>112</v>
      </c>
    </row>
    <row r="74" spans="2:14">
      <c r="B74" s="16"/>
      <c r="C74" s="5"/>
      <c r="G74" s="42" t="s">
        <v>27</v>
      </c>
      <c r="H74" s="3">
        <f>DASHBOARD!$D$39</f>
        <v>30</v>
      </c>
      <c r="I74" s="32">
        <v>8</v>
      </c>
      <c r="J74" s="53">
        <v>0</v>
      </c>
      <c r="K74" s="11">
        <f>D23*F71*I74*J74</f>
        <v>0</v>
      </c>
      <c r="L74" s="6">
        <f t="shared" si="2"/>
        <v>0</v>
      </c>
      <c r="M74" s="1" t="s">
        <v>260</v>
      </c>
      <c r="N74" s="87" t="s">
        <v>115</v>
      </c>
    </row>
    <row r="75" spans="2:14">
      <c r="B75" s="16"/>
      <c r="C75" s="5"/>
      <c r="G75" s="42" t="s">
        <v>202</v>
      </c>
      <c r="H75" s="3">
        <f>DASHBOARD!$D$78</f>
        <v>0</v>
      </c>
      <c r="I75" s="32">
        <v>1</v>
      </c>
      <c r="J75" s="11">
        <v>100</v>
      </c>
      <c r="K75" s="11"/>
      <c r="L75" s="6">
        <f t="shared" ref="L75" si="3">H75*I75*J75</f>
        <v>0</v>
      </c>
      <c r="N75" s="87"/>
    </row>
    <row r="76" spans="2:14">
      <c r="B76" s="16"/>
      <c r="C76" s="5"/>
      <c r="G76" s="5" t="s">
        <v>8</v>
      </c>
      <c r="H76" s="7">
        <f>DASHBOARD!$D$56</f>
        <v>0.16259999999999999</v>
      </c>
      <c r="I76" s="34">
        <v>1</v>
      </c>
      <c r="J76" s="11">
        <f>4*J72</f>
        <v>24.876264209201189</v>
      </c>
      <c r="K76" s="11"/>
      <c r="L76" s="6">
        <f t="shared" si="2"/>
        <v>4.0448805604161135</v>
      </c>
      <c r="M76" s="1" t="s">
        <v>121</v>
      </c>
      <c r="N76" s="87" t="s">
        <v>116</v>
      </c>
    </row>
    <row r="77" spans="2:14">
      <c r="B77" s="16"/>
      <c r="C77" s="5"/>
      <c r="G77" s="5" t="s">
        <v>41</v>
      </c>
      <c r="H77" s="7">
        <f>DASHBOARD!$D$57</f>
        <v>3.95</v>
      </c>
      <c r="I77" s="34">
        <v>1</v>
      </c>
      <c r="J77" s="11">
        <f>(4*J73)+(4*J74)</f>
        <v>24.876264209201189</v>
      </c>
      <c r="K77" s="11"/>
      <c r="L77" s="6">
        <f t="shared" si="2"/>
        <v>98.261243626344694</v>
      </c>
      <c r="M77" s="1" t="s">
        <v>122</v>
      </c>
      <c r="N77" s="87" t="s">
        <v>117</v>
      </c>
    </row>
    <row r="78" spans="2:14">
      <c r="B78" s="16"/>
      <c r="C78" s="5"/>
      <c r="G78" s="5" t="s">
        <v>9</v>
      </c>
      <c r="H78" s="7">
        <f>DASHBOARD!$D$58</f>
        <v>13.95</v>
      </c>
      <c r="I78" s="34">
        <v>1</v>
      </c>
      <c r="J78" s="11">
        <f>(4*J73)+(4*J74)</f>
        <v>24.876264209201189</v>
      </c>
      <c r="K78" s="11"/>
      <c r="L78" s="6">
        <f t="shared" si="2"/>
        <v>347.02388571835655</v>
      </c>
      <c r="M78" s="1" t="s">
        <v>122</v>
      </c>
      <c r="N78" s="87" t="s">
        <v>118</v>
      </c>
    </row>
    <row r="79" spans="2:14">
      <c r="B79" s="16"/>
      <c r="C79" s="5"/>
      <c r="G79" s="5" t="s">
        <v>16</v>
      </c>
      <c r="H79" s="7">
        <f>DASHBOARD!$D$59</f>
        <v>0.23960000000000001</v>
      </c>
      <c r="I79" s="34">
        <v>1</v>
      </c>
      <c r="J79" s="12">
        <f>(4*J72)+(4*J74)+100</f>
        <v>124.8762642092012</v>
      </c>
      <c r="K79" s="12"/>
      <c r="L79" s="6">
        <f t="shared" si="2"/>
        <v>29.920352904524606</v>
      </c>
      <c r="M79" s="1" t="s">
        <v>123</v>
      </c>
      <c r="N79" s="87" t="s">
        <v>119</v>
      </c>
    </row>
    <row r="80" spans="2:14">
      <c r="B80" s="16"/>
      <c r="C80" s="5"/>
      <c r="G80" s="5" t="s">
        <v>10</v>
      </c>
      <c r="H80" s="7">
        <f>DASHBOARD!$D$60</f>
        <v>1.7004999999999999</v>
      </c>
      <c r="I80" s="34">
        <v>1</v>
      </c>
      <c r="J80" s="12">
        <f>(4*J74)+100</f>
        <v>100</v>
      </c>
      <c r="K80" s="12"/>
      <c r="L80" s="6">
        <f t="shared" si="2"/>
        <v>170.04999999999998</v>
      </c>
      <c r="M80" s="1" t="s">
        <v>124</v>
      </c>
      <c r="N80" s="87" t="s">
        <v>119</v>
      </c>
    </row>
    <row r="81" spans="2:14">
      <c r="B81" s="16"/>
      <c r="C81" s="5"/>
      <c r="G81" s="5" t="s">
        <v>273</v>
      </c>
      <c r="H81" s="7">
        <f>DASHBOARD!$D$63</f>
        <v>1.8685</v>
      </c>
      <c r="I81" s="34">
        <v>1</v>
      </c>
      <c r="J81" s="5">
        <v>100</v>
      </c>
      <c r="K81" s="5"/>
      <c r="L81" s="6">
        <f t="shared" si="2"/>
        <v>186.85</v>
      </c>
      <c r="M81" s="1" t="s">
        <v>270</v>
      </c>
      <c r="N81" s="89" t="s">
        <v>271</v>
      </c>
    </row>
    <row r="82" spans="2:14">
      <c r="B82" s="16"/>
      <c r="C82" s="5"/>
      <c r="F82" s="119">
        <f>DASHBOARD!$D$110</f>
        <v>0</v>
      </c>
      <c r="G82" s="120" t="s">
        <v>6</v>
      </c>
      <c r="H82" s="121">
        <f>DASHBOARD!$D$40</f>
        <v>24.276</v>
      </c>
      <c r="I82" s="122">
        <v>8</v>
      </c>
      <c r="J82" s="120">
        <f>0.625*F82*(8/7)</f>
        <v>0</v>
      </c>
      <c r="K82" s="120"/>
      <c r="L82" s="123">
        <f>F82*H82*I82*J82</f>
        <v>0</v>
      </c>
      <c r="M82" s="1" t="s">
        <v>287</v>
      </c>
      <c r="N82" s="89"/>
    </row>
    <row r="83" spans="2:14">
      <c r="B83" s="16"/>
      <c r="C83" s="5"/>
      <c r="F83" s="124" t="s">
        <v>281</v>
      </c>
      <c r="G83" s="120" t="s">
        <v>14</v>
      </c>
      <c r="H83" s="121">
        <f>DASHBOARD!$D$35</f>
        <v>24.612000000000002</v>
      </c>
      <c r="I83" s="122">
        <v>8</v>
      </c>
      <c r="J83" s="120">
        <f>0.625*(8/7)</f>
        <v>0.71428571428571419</v>
      </c>
      <c r="K83" s="120"/>
      <c r="L83" s="123">
        <f>F82*H83*I83*J83</f>
        <v>0</v>
      </c>
      <c r="M83" s="1" t="s">
        <v>287</v>
      </c>
      <c r="N83" s="89"/>
    </row>
    <row r="84" spans="2:14">
      <c r="B84" s="16"/>
      <c r="C84" s="5"/>
      <c r="F84" s="124"/>
      <c r="G84" s="120" t="s">
        <v>291</v>
      </c>
      <c r="H84" s="121">
        <f>DASHBOARD!$D$59</f>
        <v>0.23960000000000001</v>
      </c>
      <c r="I84" s="122">
        <v>1</v>
      </c>
      <c r="J84" s="120">
        <v>100</v>
      </c>
      <c r="K84" s="120"/>
      <c r="L84" s="123">
        <f>F82*H84*I84*J84</f>
        <v>0</v>
      </c>
      <c r="N84" s="89"/>
    </row>
    <row r="85" spans="2:14">
      <c r="B85" s="16"/>
      <c r="C85" s="5"/>
      <c r="F85" s="119"/>
      <c r="G85" s="120" t="s">
        <v>284</v>
      </c>
      <c r="H85" s="121">
        <v>10</v>
      </c>
      <c r="I85" s="122">
        <v>1</v>
      </c>
      <c r="J85" s="120">
        <v>100</v>
      </c>
      <c r="K85" s="120"/>
      <c r="L85" s="123">
        <f>F82*H85*I85*J85</f>
        <v>0</v>
      </c>
      <c r="M85" s="1" t="s">
        <v>290</v>
      </c>
      <c r="N85" s="89"/>
    </row>
    <row r="86" spans="2:14">
      <c r="B86" s="16"/>
      <c r="C86" s="5"/>
      <c r="F86" s="119"/>
      <c r="G86" s="120" t="s">
        <v>283</v>
      </c>
      <c r="H86" s="121">
        <v>0.84</v>
      </c>
      <c r="I86" s="122">
        <v>1</v>
      </c>
      <c r="J86" s="120">
        <v>100</v>
      </c>
      <c r="K86" s="120"/>
      <c r="L86" s="123">
        <f>F82*H86*I86*J86</f>
        <v>0</v>
      </c>
      <c r="M86" s="1" t="s">
        <v>288</v>
      </c>
      <c r="N86" s="88" t="s">
        <v>289</v>
      </c>
    </row>
    <row r="87" spans="2:14">
      <c r="B87" s="17"/>
      <c r="F87" s="154">
        <f>DASHBOARD!$D$112</f>
        <v>0</v>
      </c>
      <c r="G87" s="155" t="s">
        <v>386</v>
      </c>
      <c r="H87" s="156">
        <f>DASHBOARD!$D$42</f>
        <v>30</v>
      </c>
      <c r="I87" s="157">
        <v>8</v>
      </c>
      <c r="J87" s="155">
        <f>((DASHBOARD!$D$113*100)/480)*(8/7)</f>
        <v>1.1904761904761905</v>
      </c>
      <c r="K87" s="155">
        <f>D29*F71*F87*I87*J87</f>
        <v>0</v>
      </c>
      <c r="L87" s="158">
        <f>F87*H87*I87*J87</f>
        <v>0</v>
      </c>
      <c r="M87" s="1" t="s">
        <v>460</v>
      </c>
      <c r="N87" s="88" t="s">
        <v>387</v>
      </c>
    </row>
    <row r="88" spans="2:14">
      <c r="B88" s="17"/>
      <c r="F88" s="159" t="s">
        <v>281</v>
      </c>
      <c r="G88" s="155" t="s">
        <v>382</v>
      </c>
      <c r="H88" s="156">
        <f>DASHBOARD!$D$59</f>
        <v>0.23960000000000001</v>
      </c>
      <c r="I88" s="157">
        <v>1</v>
      </c>
      <c r="J88" s="155">
        <v>100</v>
      </c>
      <c r="K88" s="155"/>
      <c r="L88" s="158">
        <f>F87*H88*I88*J88</f>
        <v>0</v>
      </c>
      <c r="M88" s="1" t="s">
        <v>388</v>
      </c>
      <c r="N88" s="88"/>
    </row>
    <row r="89" spans="2:14">
      <c r="B89" s="17"/>
      <c r="F89" s="159" t="s">
        <v>380</v>
      </c>
      <c r="G89" s="155" t="s">
        <v>383</v>
      </c>
      <c r="H89" s="156">
        <f>DASHBOARD!$D$60</f>
        <v>1.7004999999999999</v>
      </c>
      <c r="I89" s="157">
        <v>1</v>
      </c>
      <c r="J89" s="155">
        <v>100</v>
      </c>
      <c r="K89" s="155"/>
      <c r="L89" s="158">
        <f>F87*H89*I89*J89</f>
        <v>0</v>
      </c>
      <c r="M89" s="1" t="s">
        <v>388</v>
      </c>
      <c r="N89" s="88"/>
    </row>
    <row r="90" spans="2:14">
      <c r="B90" s="17"/>
      <c r="F90" s="154"/>
      <c r="G90" s="155" t="s">
        <v>41</v>
      </c>
      <c r="H90" s="156">
        <f>DASHBOARD!$D$57</f>
        <v>3.95</v>
      </c>
      <c r="I90" s="157">
        <v>1</v>
      </c>
      <c r="J90" s="155">
        <f>I87*J87/2</f>
        <v>4.7619047619047619</v>
      </c>
      <c r="K90" s="155"/>
      <c r="L90" s="158">
        <f>F87*H90*I90*J90</f>
        <v>0</v>
      </c>
      <c r="M90" s="1" t="s">
        <v>385</v>
      </c>
      <c r="N90" s="88"/>
    </row>
    <row r="91" spans="2:14">
      <c r="B91" s="17"/>
      <c r="F91" s="154"/>
      <c r="G91" s="155" t="s">
        <v>384</v>
      </c>
      <c r="H91" s="156">
        <f>DASHBOARD!$D$58</f>
        <v>13.95</v>
      </c>
      <c r="I91" s="157">
        <v>1</v>
      </c>
      <c r="J91" s="155">
        <f>I87*J87/2</f>
        <v>4.7619047619047619</v>
      </c>
      <c r="K91" s="155"/>
      <c r="L91" s="158">
        <f>F87*H91*I91*J91</f>
        <v>0</v>
      </c>
      <c r="M91" s="1" t="s">
        <v>385</v>
      </c>
      <c r="N91" s="88"/>
    </row>
    <row r="92" spans="2:14">
      <c r="B92" s="17"/>
      <c r="F92" s="154"/>
      <c r="G92" s="155" t="s">
        <v>389</v>
      </c>
      <c r="H92" s="156">
        <f>DASHBOARD!$D$71</f>
        <v>2.2799999999999998</v>
      </c>
      <c r="I92" s="157">
        <v>1</v>
      </c>
      <c r="J92" s="155">
        <v>100</v>
      </c>
      <c r="K92" s="155"/>
      <c r="L92" s="158">
        <f>F87*H92*I92*J92</f>
        <v>0</v>
      </c>
      <c r="M92" s="1" t="s">
        <v>390</v>
      </c>
      <c r="N92" s="88" t="s">
        <v>391</v>
      </c>
    </row>
    <row r="93" spans="2:14">
      <c r="B93" s="17"/>
      <c r="F93" s="154"/>
      <c r="G93" s="155" t="s">
        <v>392</v>
      </c>
      <c r="H93" s="156">
        <f>DASHBOARD!$D$72</f>
        <v>0.39</v>
      </c>
      <c r="I93" s="157">
        <v>1</v>
      </c>
      <c r="J93" s="155">
        <v>100</v>
      </c>
      <c r="K93" s="155"/>
      <c r="L93" s="158">
        <f>F87*H93*I93*J93</f>
        <v>0</v>
      </c>
      <c r="M93" s="1" t="s">
        <v>393</v>
      </c>
      <c r="N93" s="88" t="s">
        <v>394</v>
      </c>
    </row>
    <row r="94" spans="2:14">
      <c r="B94" s="16"/>
      <c r="C94" s="5"/>
      <c r="F94" s="2">
        <f>DASHBOARD!$D$128*(1-DASHBOARD!$D$123)</f>
        <v>0</v>
      </c>
      <c r="G94" s="41" t="s">
        <v>229</v>
      </c>
      <c r="H94" s="3">
        <f>DASHBOARD!$D$65</f>
        <v>42.91</v>
      </c>
      <c r="I94" s="32">
        <f>I96/8</f>
        <v>1</v>
      </c>
      <c r="J94" s="71">
        <f>J96</f>
        <v>11.933351766586011</v>
      </c>
      <c r="K94" s="11">
        <f>D23*F94*I94*J94</f>
        <v>0</v>
      </c>
      <c r="L94" s="6">
        <f>H94*I94*J94</f>
        <v>512.06012430420571</v>
      </c>
      <c r="N94" s="89"/>
    </row>
    <row r="95" spans="2:14" ht="36" customHeight="1">
      <c r="B95" s="16"/>
      <c r="C95" s="5"/>
      <c r="F95" s="1" t="s">
        <v>468</v>
      </c>
      <c r="G95" s="42" t="s">
        <v>14</v>
      </c>
      <c r="H95" s="3">
        <f>DASHBOARD!$D$35</f>
        <v>24.612000000000002</v>
      </c>
      <c r="I95" s="32">
        <v>8</v>
      </c>
      <c r="J95" s="11">
        <f>J96</f>
        <v>11.933351766586011</v>
      </c>
      <c r="K95" s="11">
        <f>D23*F94*I95*J95</f>
        <v>0</v>
      </c>
      <c r="L95" s="6">
        <f t="shared" si="2"/>
        <v>2349.6292294337195</v>
      </c>
      <c r="M95" s="72" t="s">
        <v>269</v>
      </c>
      <c r="N95" s="87" t="s">
        <v>111</v>
      </c>
    </row>
    <row r="96" spans="2:14" ht="31.5">
      <c r="B96" s="16"/>
      <c r="C96" s="5"/>
      <c r="F96" s="2" t="s">
        <v>468</v>
      </c>
      <c r="G96" s="42" t="s">
        <v>6</v>
      </c>
      <c r="H96" s="3">
        <f>DASHBOARD!$D$40</f>
        <v>24.276</v>
      </c>
      <c r="I96" s="32">
        <v>8</v>
      </c>
      <c r="J96" s="11">
        <f>((45*$C$11+DASHBOARD!D148*$C$5))/($C$23*(C5/C4))*100/60*(8/7)</f>
        <v>11.933351766586011</v>
      </c>
      <c r="K96" s="11">
        <f>D23*F94*I96*J96</f>
        <v>0</v>
      </c>
      <c r="L96" s="6">
        <f t="shared" si="2"/>
        <v>2317.5523798851359</v>
      </c>
      <c r="M96" s="1" t="s">
        <v>268</v>
      </c>
      <c r="N96" s="87" t="s">
        <v>112</v>
      </c>
    </row>
    <row r="97" spans="2:14">
      <c r="B97" s="16"/>
      <c r="C97" s="5"/>
      <c r="G97" s="42" t="s">
        <v>27</v>
      </c>
      <c r="H97" s="3">
        <f>DASHBOARD!$D$78</f>
        <v>0</v>
      </c>
      <c r="I97" s="32">
        <v>8</v>
      </c>
      <c r="J97" s="53">
        <v>0</v>
      </c>
      <c r="K97" s="11">
        <f>D23*F94*I97*J97</f>
        <v>0</v>
      </c>
      <c r="L97" s="6">
        <f t="shared" si="2"/>
        <v>0</v>
      </c>
      <c r="M97" s="1" t="s">
        <v>260</v>
      </c>
      <c r="N97" s="87" t="s">
        <v>115</v>
      </c>
    </row>
    <row r="98" spans="2:14">
      <c r="B98" s="16"/>
      <c r="C98" s="5"/>
      <c r="G98" s="42" t="s">
        <v>202</v>
      </c>
      <c r="H98" s="3">
        <f>DASHBOARD!$D$79</f>
        <v>0</v>
      </c>
      <c r="I98" s="32">
        <v>1</v>
      </c>
      <c r="J98" s="11">
        <v>100</v>
      </c>
      <c r="K98" s="11"/>
      <c r="L98" s="6">
        <f t="shared" si="2"/>
        <v>0</v>
      </c>
      <c r="N98" s="87"/>
    </row>
    <row r="99" spans="2:14">
      <c r="B99" s="16"/>
      <c r="C99" s="5"/>
      <c r="G99" s="5" t="s">
        <v>8</v>
      </c>
      <c r="H99" s="7">
        <f>DASHBOARD!$D$56</f>
        <v>0.16259999999999999</v>
      </c>
      <c r="I99" s="34">
        <v>1</v>
      </c>
      <c r="J99" s="11">
        <f>4*J95</f>
        <v>47.733407066344043</v>
      </c>
      <c r="K99" s="11"/>
      <c r="L99" s="6">
        <f t="shared" si="2"/>
        <v>7.7614519889875409</v>
      </c>
      <c r="M99" s="1" t="s">
        <v>121</v>
      </c>
      <c r="N99" s="87" t="s">
        <v>116</v>
      </c>
    </row>
    <row r="100" spans="2:14">
      <c r="B100" s="16"/>
      <c r="C100" s="5"/>
      <c r="G100" s="5" t="s">
        <v>41</v>
      </c>
      <c r="H100" s="7">
        <f>DASHBOARD!$D$57</f>
        <v>3.95</v>
      </c>
      <c r="I100" s="34">
        <v>1</v>
      </c>
      <c r="J100" s="11">
        <f>(4*J96)+(4*J97)</f>
        <v>47.733407066344043</v>
      </c>
      <c r="K100" s="11"/>
      <c r="L100" s="6">
        <f t="shared" si="2"/>
        <v>188.54695791205899</v>
      </c>
      <c r="M100" s="1" t="s">
        <v>122</v>
      </c>
      <c r="N100" s="87" t="s">
        <v>117</v>
      </c>
    </row>
    <row r="101" spans="2:14">
      <c r="B101" s="16"/>
      <c r="C101" s="5"/>
      <c r="G101" s="5" t="s">
        <v>9</v>
      </c>
      <c r="H101" s="7">
        <f>DASHBOARD!$D$58</f>
        <v>13.95</v>
      </c>
      <c r="I101" s="34">
        <v>1</v>
      </c>
      <c r="J101" s="11">
        <f>(4*J96)+(4*J97)</f>
        <v>47.733407066344043</v>
      </c>
      <c r="K101" s="11"/>
      <c r="L101" s="6">
        <f t="shared" si="2"/>
        <v>665.88102857549939</v>
      </c>
      <c r="M101" s="1" t="s">
        <v>122</v>
      </c>
      <c r="N101" s="87" t="s">
        <v>118</v>
      </c>
    </row>
    <row r="102" spans="2:14">
      <c r="B102" s="16"/>
      <c r="C102" s="5"/>
      <c r="G102" s="5" t="s">
        <v>16</v>
      </c>
      <c r="H102" s="7">
        <f>DASHBOARD!$D$59</f>
        <v>0.23960000000000001</v>
      </c>
      <c r="I102" s="34">
        <v>1</v>
      </c>
      <c r="J102" s="12">
        <f>(4*J95)+(4*J97)+100</f>
        <v>147.73340706634406</v>
      </c>
      <c r="K102" s="12"/>
      <c r="L102" s="6">
        <f t="shared" si="2"/>
        <v>35.396924333096038</v>
      </c>
      <c r="M102" s="1" t="s">
        <v>123</v>
      </c>
      <c r="N102" s="87" t="s">
        <v>119</v>
      </c>
    </row>
    <row r="103" spans="2:14">
      <c r="B103" s="16"/>
      <c r="C103" s="5"/>
      <c r="G103" s="5" t="s">
        <v>10</v>
      </c>
      <c r="H103" s="7">
        <f>DASHBOARD!$D$60</f>
        <v>1.7004999999999999</v>
      </c>
      <c r="I103" s="34">
        <v>1</v>
      </c>
      <c r="J103" s="12">
        <f>(4*J97)+100</f>
        <v>100</v>
      </c>
      <c r="K103" s="12"/>
      <c r="L103" s="6">
        <f t="shared" si="2"/>
        <v>170.04999999999998</v>
      </c>
      <c r="M103" s="1" t="s">
        <v>124</v>
      </c>
      <c r="N103" s="87" t="s">
        <v>119</v>
      </c>
    </row>
    <row r="104" spans="2:14">
      <c r="B104" s="16"/>
      <c r="C104" s="5"/>
      <c r="G104" s="5" t="s">
        <v>273</v>
      </c>
      <c r="H104" s="7">
        <f>DASHBOARD!$D$63</f>
        <v>1.8685</v>
      </c>
      <c r="I104" s="34">
        <v>1</v>
      </c>
      <c r="J104" s="5">
        <v>100</v>
      </c>
      <c r="K104" s="5"/>
      <c r="L104" s="6">
        <f t="shared" si="2"/>
        <v>186.85</v>
      </c>
      <c r="M104" s="1" t="s">
        <v>270</v>
      </c>
      <c r="N104" s="88" t="s">
        <v>271</v>
      </c>
    </row>
    <row r="105" spans="2:14">
      <c r="B105" s="16"/>
      <c r="C105" s="5"/>
      <c r="F105" s="119">
        <f>DASHBOARD!$D$110</f>
        <v>0</v>
      </c>
      <c r="G105" s="120" t="s">
        <v>6</v>
      </c>
      <c r="H105" s="121">
        <f>DASHBOARD!$D$40</f>
        <v>24.276</v>
      </c>
      <c r="I105" s="122">
        <v>8</v>
      </c>
      <c r="J105" s="120">
        <f>0.625*F105*(8/7)</f>
        <v>0</v>
      </c>
      <c r="K105" s="120"/>
      <c r="L105" s="123">
        <f>F105*H105*I105*J105</f>
        <v>0</v>
      </c>
      <c r="M105" s="1" t="s">
        <v>287</v>
      </c>
      <c r="N105" s="89"/>
    </row>
    <row r="106" spans="2:14">
      <c r="B106" s="16"/>
      <c r="C106" s="5"/>
      <c r="F106" s="124" t="s">
        <v>281</v>
      </c>
      <c r="G106" s="120" t="s">
        <v>14</v>
      </c>
      <c r="H106" s="121">
        <f>DASHBOARD!$D$35</f>
        <v>24.612000000000002</v>
      </c>
      <c r="I106" s="122">
        <v>8</v>
      </c>
      <c r="J106" s="120">
        <f>0.625*(8/7)</f>
        <v>0.71428571428571419</v>
      </c>
      <c r="K106" s="120"/>
      <c r="L106" s="123">
        <f>F105*H106*I106*J106</f>
        <v>0</v>
      </c>
      <c r="M106" s="1" t="s">
        <v>287</v>
      </c>
      <c r="N106" s="89"/>
    </row>
    <row r="107" spans="2:14">
      <c r="B107" s="16"/>
      <c r="C107" s="5"/>
      <c r="F107" s="124"/>
      <c r="G107" s="120" t="s">
        <v>291</v>
      </c>
      <c r="H107" s="121">
        <f>DASHBOARD!$D$59</f>
        <v>0.23960000000000001</v>
      </c>
      <c r="I107" s="122">
        <v>1</v>
      </c>
      <c r="J107" s="120">
        <v>100</v>
      </c>
      <c r="K107" s="120"/>
      <c r="L107" s="123">
        <f>F105*H107*I107*J107</f>
        <v>0</v>
      </c>
      <c r="N107" s="89"/>
    </row>
    <row r="108" spans="2:14">
      <c r="B108" s="16"/>
      <c r="C108" s="5"/>
      <c r="F108" s="119"/>
      <c r="G108" s="120" t="s">
        <v>284</v>
      </c>
      <c r="H108" s="121">
        <v>10</v>
      </c>
      <c r="I108" s="122">
        <v>1</v>
      </c>
      <c r="J108" s="120">
        <v>100</v>
      </c>
      <c r="K108" s="120"/>
      <c r="L108" s="123">
        <f>F105*H108*I108*J108</f>
        <v>0</v>
      </c>
      <c r="M108" s="1" t="s">
        <v>290</v>
      </c>
      <c r="N108" s="89"/>
    </row>
    <row r="109" spans="2:14">
      <c r="B109" s="16"/>
      <c r="C109" s="5"/>
      <c r="F109" s="119"/>
      <c r="G109" s="120" t="s">
        <v>283</v>
      </c>
      <c r="H109" s="121">
        <v>0.84</v>
      </c>
      <c r="I109" s="122">
        <v>1</v>
      </c>
      <c r="J109" s="120">
        <v>100</v>
      </c>
      <c r="K109" s="120"/>
      <c r="L109" s="123">
        <f>F105*H109*I109*J109</f>
        <v>0</v>
      </c>
      <c r="M109" s="1" t="s">
        <v>288</v>
      </c>
      <c r="N109" s="88" t="s">
        <v>289</v>
      </c>
    </row>
    <row r="110" spans="2:14">
      <c r="B110" s="17"/>
      <c r="F110" s="154">
        <f>DASHBOARD!$D$112</f>
        <v>0</v>
      </c>
      <c r="G110" s="155" t="s">
        <v>386</v>
      </c>
      <c r="H110" s="156">
        <f>DASHBOARD!$D$42</f>
        <v>30</v>
      </c>
      <c r="I110" s="157">
        <v>8</v>
      </c>
      <c r="J110" s="155">
        <f>((DASHBOARD!$D$113*100)/480)*(8/7)</f>
        <v>1.1904761904761905</v>
      </c>
      <c r="K110" s="155">
        <f>D31*F94*F110*I110*J110</f>
        <v>0</v>
      </c>
      <c r="L110" s="158">
        <f>F110*H110*I110*J110</f>
        <v>0</v>
      </c>
      <c r="M110" s="1" t="s">
        <v>460</v>
      </c>
      <c r="N110" s="88" t="s">
        <v>387</v>
      </c>
    </row>
    <row r="111" spans="2:14">
      <c r="B111" s="17"/>
      <c r="F111" s="159" t="s">
        <v>281</v>
      </c>
      <c r="G111" s="155" t="s">
        <v>382</v>
      </c>
      <c r="H111" s="156">
        <f>DASHBOARD!$D$59</f>
        <v>0.23960000000000001</v>
      </c>
      <c r="I111" s="157">
        <v>1</v>
      </c>
      <c r="J111" s="155">
        <v>100</v>
      </c>
      <c r="K111" s="155"/>
      <c r="L111" s="158">
        <f>F110*H111*I111*J111</f>
        <v>0</v>
      </c>
      <c r="M111" s="1" t="s">
        <v>388</v>
      </c>
      <c r="N111" s="88"/>
    </row>
    <row r="112" spans="2:14">
      <c r="B112" s="17"/>
      <c r="F112" s="159" t="s">
        <v>380</v>
      </c>
      <c r="G112" s="155" t="s">
        <v>383</v>
      </c>
      <c r="H112" s="156">
        <f>DASHBOARD!$D$60</f>
        <v>1.7004999999999999</v>
      </c>
      <c r="I112" s="157">
        <v>1</v>
      </c>
      <c r="J112" s="155">
        <v>100</v>
      </c>
      <c r="K112" s="155"/>
      <c r="L112" s="158">
        <f>F110*H112*I112*J112</f>
        <v>0</v>
      </c>
      <c r="M112" s="1" t="s">
        <v>388</v>
      </c>
      <c r="N112" s="88"/>
    </row>
    <row r="113" spans="2:14">
      <c r="B113" s="17"/>
      <c r="F113" s="154"/>
      <c r="G113" s="155" t="s">
        <v>41</v>
      </c>
      <c r="H113" s="156">
        <f>DASHBOARD!$D$57</f>
        <v>3.95</v>
      </c>
      <c r="I113" s="157">
        <v>1</v>
      </c>
      <c r="J113" s="155">
        <f>I110*J110/2</f>
        <v>4.7619047619047619</v>
      </c>
      <c r="K113" s="155"/>
      <c r="L113" s="158">
        <f>F110*H113*I113*J113</f>
        <v>0</v>
      </c>
      <c r="M113" s="1" t="s">
        <v>385</v>
      </c>
      <c r="N113" s="88"/>
    </row>
    <row r="114" spans="2:14">
      <c r="B114" s="17"/>
      <c r="F114" s="154"/>
      <c r="G114" s="155" t="s">
        <v>384</v>
      </c>
      <c r="H114" s="156">
        <f>DASHBOARD!$D$58</f>
        <v>13.95</v>
      </c>
      <c r="I114" s="157">
        <v>1</v>
      </c>
      <c r="J114" s="155">
        <f>I110*J110/2</f>
        <v>4.7619047619047619</v>
      </c>
      <c r="K114" s="155"/>
      <c r="L114" s="158">
        <f>F110*H114*I114*J114</f>
        <v>0</v>
      </c>
      <c r="M114" s="1" t="s">
        <v>385</v>
      </c>
      <c r="N114" s="88"/>
    </row>
    <row r="115" spans="2:14">
      <c r="B115" s="17"/>
      <c r="F115" s="154"/>
      <c r="G115" s="155" t="s">
        <v>389</v>
      </c>
      <c r="H115" s="156">
        <f>DASHBOARD!$D$71</f>
        <v>2.2799999999999998</v>
      </c>
      <c r="I115" s="157">
        <v>1</v>
      </c>
      <c r="J115" s="155">
        <v>100</v>
      </c>
      <c r="K115" s="155"/>
      <c r="L115" s="158">
        <f>F110*H115*I115*J115</f>
        <v>0</v>
      </c>
      <c r="M115" s="1" t="s">
        <v>390</v>
      </c>
      <c r="N115" s="88" t="s">
        <v>391</v>
      </c>
    </row>
    <row r="116" spans="2:14">
      <c r="B116" s="17"/>
      <c r="F116" s="154"/>
      <c r="G116" s="155" t="s">
        <v>392</v>
      </c>
      <c r="H116" s="156">
        <f>DASHBOARD!$D$72</f>
        <v>0.39</v>
      </c>
      <c r="I116" s="157">
        <v>1</v>
      </c>
      <c r="J116" s="155">
        <v>100</v>
      </c>
      <c r="K116" s="155"/>
      <c r="L116" s="158">
        <f>F110*H116*I116*J116</f>
        <v>0</v>
      </c>
      <c r="M116" s="1" t="s">
        <v>393</v>
      </c>
      <c r="N116" s="88" t="s">
        <v>394</v>
      </c>
    </row>
    <row r="117" spans="2:14" ht="65.849999999999994" customHeight="1">
      <c r="B117" s="17"/>
      <c r="C117" s="26"/>
      <c r="D117" s="115">
        <f>(1-(C5/C4))*0.3*DASHBOARD!$D$139</f>
        <v>5.386268907122449E-2</v>
      </c>
      <c r="E117" s="21" t="s">
        <v>257</v>
      </c>
      <c r="F117" s="2">
        <f>DASHBOARD!$D$123</f>
        <v>0</v>
      </c>
      <c r="G117" s="41" t="s">
        <v>14</v>
      </c>
      <c r="H117" s="7">
        <f>DASHBOARD!$D$35</f>
        <v>24.612000000000002</v>
      </c>
      <c r="I117" s="34">
        <v>8</v>
      </c>
      <c r="J117" s="5">
        <f>J143/2</f>
        <v>1.1428571430000001</v>
      </c>
      <c r="K117" s="11">
        <f>D117*F117*I117*J117</f>
        <v>0</v>
      </c>
      <c r="L117" s="6">
        <f t="shared" si="1"/>
        <v>225.02400002812803</v>
      </c>
      <c r="M117" s="1" t="s">
        <v>164</v>
      </c>
      <c r="N117" s="83" t="s">
        <v>111</v>
      </c>
    </row>
    <row r="118" spans="2:14" ht="37.35" customHeight="1">
      <c r="B118" s="17"/>
      <c r="G118" s="41" t="s">
        <v>17</v>
      </c>
      <c r="H118" s="7">
        <f>DASHBOARD!$D$36</f>
        <v>45.12</v>
      </c>
      <c r="I118" s="34">
        <v>8</v>
      </c>
      <c r="J118" s="5">
        <f>(DASHBOARD!$D$145*100/480)*(8/7)</f>
        <v>2.2857142857142856</v>
      </c>
      <c r="K118" s="11">
        <f>D117*F117*I118*J118</f>
        <v>0</v>
      </c>
      <c r="L118" s="6">
        <f t="shared" si="1"/>
        <v>825.05142857142846</v>
      </c>
      <c r="N118" s="87" t="s">
        <v>112</v>
      </c>
    </row>
    <row r="119" spans="2:14">
      <c r="B119" s="17"/>
      <c r="G119" s="41" t="s">
        <v>12</v>
      </c>
      <c r="H119" s="7">
        <f>DASHBOARD!$D$37</f>
        <v>19.8</v>
      </c>
      <c r="I119" s="34">
        <v>8</v>
      </c>
      <c r="J119" s="5">
        <f>J118</f>
        <v>2.2857142857142856</v>
      </c>
      <c r="K119" s="11">
        <f>D117*F117*I119*J119</f>
        <v>0</v>
      </c>
      <c r="L119" s="6">
        <f t="shared" ref="L119:L129" si="4">H119*I119*J119</f>
        <v>362.05714285714288</v>
      </c>
      <c r="N119" s="87" t="s">
        <v>113</v>
      </c>
    </row>
    <row r="120" spans="2:14">
      <c r="B120" s="17"/>
      <c r="G120" s="41" t="s">
        <v>13</v>
      </c>
      <c r="H120" s="7">
        <f>DASHBOARD!$D$38</f>
        <v>39.6</v>
      </c>
      <c r="I120" s="34">
        <v>8</v>
      </c>
      <c r="J120" s="5">
        <f>0.18*(8/7)</f>
        <v>0.20571428571428568</v>
      </c>
      <c r="K120" s="71">
        <f>D117*F117*I120*J120</f>
        <v>0</v>
      </c>
      <c r="L120" s="6">
        <f t="shared" si="4"/>
        <v>65.170285714285711</v>
      </c>
      <c r="N120" s="87" t="s">
        <v>114</v>
      </c>
    </row>
    <row r="121" spans="2:14">
      <c r="B121" s="17"/>
      <c r="G121" s="41" t="s">
        <v>449</v>
      </c>
      <c r="H121" s="7">
        <f>DASHBOARD!$D$46</f>
        <v>54.804000000000002</v>
      </c>
      <c r="I121" s="34">
        <v>8</v>
      </c>
      <c r="J121" s="5">
        <f>0.19*(8/7)</f>
        <v>0.21714285714285714</v>
      </c>
      <c r="K121" s="249">
        <f>D117*F117*I121*J121</f>
        <v>0</v>
      </c>
      <c r="L121" s="6">
        <f t="shared" si="4"/>
        <v>95.202377142857145</v>
      </c>
      <c r="N121" s="87" t="s">
        <v>115</v>
      </c>
    </row>
    <row r="122" spans="2:14">
      <c r="B122" s="17"/>
      <c r="G122" s="41" t="s">
        <v>325</v>
      </c>
      <c r="H122" s="7">
        <f>DASHBOARD!$D$43</f>
        <v>21.599999999999998</v>
      </c>
      <c r="I122" s="34">
        <v>8</v>
      </c>
      <c r="J122" s="5">
        <f>0.75*(8/7)</f>
        <v>0.8571428571428571</v>
      </c>
      <c r="K122" s="249">
        <f>D118*F118*I122*J122</f>
        <v>0</v>
      </c>
      <c r="L122" s="6">
        <f t="shared" si="4"/>
        <v>148.1142857142857</v>
      </c>
      <c r="N122" s="87"/>
    </row>
    <row r="123" spans="2:14">
      <c r="B123" s="17"/>
      <c r="G123" s="5" t="s">
        <v>8</v>
      </c>
      <c r="H123" s="7">
        <f>DASHBOARD!$D$56</f>
        <v>0.16259999999999999</v>
      </c>
      <c r="I123" s="34">
        <v>1</v>
      </c>
      <c r="J123" s="5">
        <v>8</v>
      </c>
      <c r="K123" s="5"/>
      <c r="L123" s="6">
        <f t="shared" si="4"/>
        <v>1.3008</v>
      </c>
      <c r="M123" s="1" t="s">
        <v>121</v>
      </c>
      <c r="N123" s="87" t="s">
        <v>116</v>
      </c>
    </row>
    <row r="124" spans="2:14">
      <c r="B124" s="17"/>
      <c r="G124" s="5" t="s">
        <v>41</v>
      </c>
      <c r="H124" s="7">
        <f>DASHBOARD!$D$57</f>
        <v>3.95</v>
      </c>
      <c r="I124" s="34">
        <v>1</v>
      </c>
      <c r="J124" s="5">
        <v>8</v>
      </c>
      <c r="K124" s="5"/>
      <c r="L124" s="6">
        <f t="shared" si="4"/>
        <v>31.6</v>
      </c>
      <c r="M124" s="1" t="s">
        <v>122</v>
      </c>
      <c r="N124" s="87" t="s">
        <v>117</v>
      </c>
    </row>
    <row r="125" spans="2:14">
      <c r="B125" s="17"/>
      <c r="G125" s="5" t="s">
        <v>9</v>
      </c>
      <c r="H125" s="7">
        <f>DASHBOARD!$D$58</f>
        <v>13.95</v>
      </c>
      <c r="I125" s="34">
        <v>1</v>
      </c>
      <c r="J125" s="5">
        <v>11</v>
      </c>
      <c r="K125" s="5"/>
      <c r="L125" s="6">
        <f t="shared" si="4"/>
        <v>153.44999999999999</v>
      </c>
      <c r="M125" s="1" t="s">
        <v>122</v>
      </c>
      <c r="N125" s="87" t="s">
        <v>118</v>
      </c>
    </row>
    <row r="126" spans="2:14">
      <c r="B126" s="17"/>
      <c r="G126" s="5" t="s">
        <v>16</v>
      </c>
      <c r="H126" s="7">
        <f>DASHBOARD!$D$59</f>
        <v>0.23960000000000001</v>
      </c>
      <c r="I126" s="34">
        <v>1</v>
      </c>
      <c r="J126" s="5">
        <v>208</v>
      </c>
      <c r="K126" s="5"/>
      <c r="L126" s="6">
        <f t="shared" si="4"/>
        <v>49.836800000000004</v>
      </c>
      <c r="M126" s="1" t="s">
        <v>123</v>
      </c>
      <c r="N126" s="87" t="s">
        <v>119</v>
      </c>
    </row>
    <row r="127" spans="2:14">
      <c r="B127" s="17"/>
      <c r="G127" s="5" t="s">
        <v>10</v>
      </c>
      <c r="H127" s="7">
        <f>DASHBOARD!$D$60</f>
        <v>1.7004999999999999</v>
      </c>
      <c r="I127" s="34">
        <v>1</v>
      </c>
      <c r="J127" s="5">
        <v>200</v>
      </c>
      <c r="K127" s="5"/>
      <c r="L127" s="6">
        <f t="shared" si="4"/>
        <v>340.09999999999997</v>
      </c>
      <c r="M127" s="1" t="s">
        <v>124</v>
      </c>
      <c r="N127" s="87" t="s">
        <v>119</v>
      </c>
    </row>
    <row r="128" spans="2:14">
      <c r="B128" s="17"/>
      <c r="G128" s="5" t="s">
        <v>144</v>
      </c>
      <c r="H128" s="7">
        <f>DASHBOARD!$D$61</f>
        <v>3.32</v>
      </c>
      <c r="I128" s="34">
        <v>1</v>
      </c>
      <c r="J128" s="5">
        <v>100</v>
      </c>
      <c r="K128" s="5"/>
      <c r="L128" s="6">
        <f t="shared" si="4"/>
        <v>332</v>
      </c>
      <c r="M128" s="1" t="s">
        <v>145</v>
      </c>
      <c r="N128" s="89" t="s">
        <v>147</v>
      </c>
    </row>
    <row r="129" spans="2:14">
      <c r="B129" s="17"/>
      <c r="G129" s="5" t="s">
        <v>11</v>
      </c>
      <c r="H129" s="7">
        <f>DASHBOARD!$D$62</f>
        <v>0.72</v>
      </c>
      <c r="I129" s="34">
        <v>1</v>
      </c>
      <c r="J129" s="5">
        <f>100</f>
        <v>100</v>
      </c>
      <c r="K129" s="5"/>
      <c r="L129" s="6">
        <f t="shared" si="4"/>
        <v>72</v>
      </c>
      <c r="M129" s="1" t="s">
        <v>146</v>
      </c>
      <c r="N129" s="89" t="s">
        <v>148</v>
      </c>
    </row>
    <row r="130" spans="2:14">
      <c r="B130" s="17"/>
      <c r="G130" s="42" t="s">
        <v>202</v>
      </c>
      <c r="H130" s="3">
        <v>0</v>
      </c>
      <c r="I130" s="32">
        <v>1</v>
      </c>
      <c r="J130" s="11">
        <v>100</v>
      </c>
      <c r="K130" s="11"/>
      <c r="L130" s="6">
        <f>H130*I130*J130</f>
        <v>0</v>
      </c>
      <c r="N130" s="89"/>
    </row>
    <row r="131" spans="2:14">
      <c r="B131" s="17"/>
      <c r="F131" s="119">
        <f>DASHBOARD!$D$110</f>
        <v>0</v>
      </c>
      <c r="G131" s="120" t="s">
        <v>17</v>
      </c>
      <c r="H131" s="121">
        <f>DASHBOARD!$D$36</f>
        <v>45.12</v>
      </c>
      <c r="I131" s="122">
        <v>8</v>
      </c>
      <c r="J131" s="120">
        <f>0.625*F131*(8/7)</f>
        <v>0</v>
      </c>
      <c r="K131" s="120"/>
      <c r="L131" s="123">
        <f>F131*H131*I131*J131</f>
        <v>0</v>
      </c>
      <c r="M131" s="1" t="s">
        <v>287</v>
      </c>
      <c r="N131" s="89"/>
    </row>
    <row r="132" spans="2:14">
      <c r="B132" s="17"/>
      <c r="F132" s="124" t="s">
        <v>281</v>
      </c>
      <c r="G132" s="120" t="s">
        <v>14</v>
      </c>
      <c r="H132" s="121">
        <f>DASHBOARD!$D$35</f>
        <v>24.612000000000002</v>
      </c>
      <c r="I132" s="122">
        <v>8</v>
      </c>
      <c r="J132" s="120">
        <f>0.625*(8/7)</f>
        <v>0.71428571428571419</v>
      </c>
      <c r="K132" s="120"/>
      <c r="L132" s="123">
        <f>F131*H132*I132*J132</f>
        <v>0</v>
      </c>
      <c r="M132" s="1" t="s">
        <v>287</v>
      </c>
      <c r="N132" s="89"/>
    </row>
    <row r="133" spans="2:14">
      <c r="B133" s="17"/>
      <c r="F133" s="124"/>
      <c r="G133" s="120" t="s">
        <v>291</v>
      </c>
      <c r="H133" s="121">
        <f>DASHBOARD!$D$59</f>
        <v>0.23960000000000001</v>
      </c>
      <c r="I133" s="122">
        <v>1</v>
      </c>
      <c r="J133" s="120">
        <v>100</v>
      </c>
      <c r="K133" s="120"/>
      <c r="L133" s="123">
        <f>F131*H133*I133*J133</f>
        <v>0</v>
      </c>
      <c r="N133" s="89"/>
    </row>
    <row r="134" spans="2:14">
      <c r="B134" s="17"/>
      <c r="F134" s="119"/>
      <c r="G134" s="120" t="s">
        <v>284</v>
      </c>
      <c r="H134" s="121">
        <v>10</v>
      </c>
      <c r="I134" s="122">
        <v>1</v>
      </c>
      <c r="J134" s="120">
        <v>100</v>
      </c>
      <c r="K134" s="120"/>
      <c r="L134" s="123">
        <f>F131*H134*I134*J134</f>
        <v>0</v>
      </c>
      <c r="M134" s="1" t="s">
        <v>290</v>
      </c>
      <c r="N134" s="89"/>
    </row>
    <row r="135" spans="2:14">
      <c r="B135" s="17"/>
      <c r="F135" s="119"/>
      <c r="G135" s="120" t="s">
        <v>283</v>
      </c>
      <c r="H135" s="121">
        <v>0.84</v>
      </c>
      <c r="I135" s="122">
        <v>1</v>
      </c>
      <c r="J135" s="120">
        <v>100</v>
      </c>
      <c r="K135" s="120"/>
      <c r="L135" s="123">
        <f>F131*H135*I135*J135</f>
        <v>0</v>
      </c>
      <c r="M135" s="1" t="s">
        <v>288</v>
      </c>
      <c r="N135" s="88" t="s">
        <v>289</v>
      </c>
    </row>
    <row r="136" spans="2:14">
      <c r="B136" s="17"/>
      <c r="F136" s="154">
        <f>DASHBOARD!$D$112</f>
        <v>0</v>
      </c>
      <c r="G136" s="155" t="s">
        <v>386</v>
      </c>
      <c r="H136" s="156">
        <f>DASHBOARD!$D$42</f>
        <v>30</v>
      </c>
      <c r="I136" s="157">
        <v>8</v>
      </c>
      <c r="J136" s="155">
        <f>((DASHBOARD!$D$113*100)/480)*(8/7)</f>
        <v>1.1904761904761905</v>
      </c>
      <c r="K136" s="155">
        <f>D117*F117*F136*I136*J136</f>
        <v>0</v>
      </c>
      <c r="L136" s="158">
        <f>F136*H136*I136*J136</f>
        <v>0</v>
      </c>
      <c r="M136" s="1" t="s">
        <v>460</v>
      </c>
      <c r="N136" s="88" t="s">
        <v>387</v>
      </c>
    </row>
    <row r="137" spans="2:14">
      <c r="B137" s="17"/>
      <c r="F137" s="159" t="s">
        <v>281</v>
      </c>
      <c r="G137" s="155" t="s">
        <v>382</v>
      </c>
      <c r="H137" s="156">
        <f>DASHBOARD!$D$59</f>
        <v>0.23960000000000001</v>
      </c>
      <c r="I137" s="157">
        <v>1</v>
      </c>
      <c r="J137" s="155">
        <v>100</v>
      </c>
      <c r="K137" s="155"/>
      <c r="L137" s="158">
        <f>F136*H137*I137*J137</f>
        <v>0</v>
      </c>
      <c r="M137" s="1" t="s">
        <v>388</v>
      </c>
      <c r="N137" s="88"/>
    </row>
    <row r="138" spans="2:14">
      <c r="B138" s="17"/>
      <c r="F138" s="159" t="s">
        <v>380</v>
      </c>
      <c r="G138" s="155" t="s">
        <v>383</v>
      </c>
      <c r="H138" s="156">
        <f>DASHBOARD!$D$60</f>
        <v>1.7004999999999999</v>
      </c>
      <c r="I138" s="157">
        <v>1</v>
      </c>
      <c r="J138" s="155">
        <v>100</v>
      </c>
      <c r="K138" s="155"/>
      <c r="L138" s="158">
        <f>F136*H138*I138*J138</f>
        <v>0</v>
      </c>
      <c r="M138" s="1" t="s">
        <v>388</v>
      </c>
      <c r="N138" s="88"/>
    </row>
    <row r="139" spans="2:14">
      <c r="B139" s="17"/>
      <c r="F139" s="154"/>
      <c r="G139" s="155" t="s">
        <v>41</v>
      </c>
      <c r="H139" s="156">
        <f>DASHBOARD!$D$57</f>
        <v>3.95</v>
      </c>
      <c r="I139" s="157">
        <v>1</v>
      </c>
      <c r="J139" s="155">
        <f>I136*J136/2</f>
        <v>4.7619047619047619</v>
      </c>
      <c r="K139" s="155"/>
      <c r="L139" s="158">
        <f>F136*H139*I139*J139</f>
        <v>0</v>
      </c>
      <c r="M139" s="1" t="s">
        <v>385</v>
      </c>
      <c r="N139" s="88"/>
    </row>
    <row r="140" spans="2:14">
      <c r="B140" s="17"/>
      <c r="F140" s="154"/>
      <c r="G140" s="155" t="s">
        <v>384</v>
      </c>
      <c r="H140" s="156">
        <f>DASHBOARD!$D$58</f>
        <v>13.95</v>
      </c>
      <c r="I140" s="157">
        <v>1</v>
      </c>
      <c r="J140" s="155">
        <f>I136*J136/2</f>
        <v>4.7619047619047619</v>
      </c>
      <c r="K140" s="155"/>
      <c r="L140" s="158">
        <f>F136*H140*I140*J140</f>
        <v>0</v>
      </c>
      <c r="M140" s="1" t="s">
        <v>385</v>
      </c>
      <c r="N140" s="88"/>
    </row>
    <row r="141" spans="2:14">
      <c r="B141" s="17"/>
      <c r="F141" s="154"/>
      <c r="G141" s="155" t="s">
        <v>389</v>
      </c>
      <c r="H141" s="156">
        <f>DASHBOARD!$D$71</f>
        <v>2.2799999999999998</v>
      </c>
      <c r="I141" s="157">
        <v>1</v>
      </c>
      <c r="J141" s="155">
        <v>100</v>
      </c>
      <c r="K141" s="155"/>
      <c r="L141" s="158">
        <f>F136*H141*I141*J141</f>
        <v>0</v>
      </c>
      <c r="M141" s="1" t="s">
        <v>390</v>
      </c>
      <c r="N141" s="88" t="s">
        <v>391</v>
      </c>
    </row>
    <row r="142" spans="2:14">
      <c r="B142" s="17"/>
      <c r="F142" s="154"/>
      <c r="G142" s="155" t="s">
        <v>392</v>
      </c>
      <c r="H142" s="156">
        <f>DASHBOARD!$D$72</f>
        <v>0.39</v>
      </c>
      <c r="I142" s="157">
        <v>1</v>
      </c>
      <c r="J142" s="155">
        <v>100</v>
      </c>
      <c r="K142" s="155"/>
      <c r="L142" s="158">
        <f>F136*H142*I142*J142</f>
        <v>0</v>
      </c>
      <c r="M142" s="1" t="s">
        <v>393</v>
      </c>
      <c r="N142" s="88" t="s">
        <v>394</v>
      </c>
    </row>
    <row r="143" spans="2:14" ht="63">
      <c r="B143" s="17"/>
      <c r="F143" s="2">
        <f>1-F117</f>
        <v>1</v>
      </c>
      <c r="G143" s="41" t="s">
        <v>14</v>
      </c>
      <c r="H143" s="7">
        <f>DASHBOARD!D133</f>
        <v>1</v>
      </c>
      <c r="I143" s="34">
        <v>6</v>
      </c>
      <c r="J143" s="5">
        <f>J144</f>
        <v>2.2857142860000002</v>
      </c>
      <c r="K143" s="11">
        <f>D118*F143*I143*J143</f>
        <v>0</v>
      </c>
      <c r="L143" s="6">
        <f>H143*I143*J143</f>
        <v>13.714285716000001</v>
      </c>
      <c r="M143" s="1" t="s">
        <v>165</v>
      </c>
      <c r="N143" s="83" t="s">
        <v>111</v>
      </c>
    </row>
    <row r="144" spans="2:14">
      <c r="B144" s="17"/>
      <c r="G144" s="41" t="s">
        <v>17</v>
      </c>
      <c r="H144" s="7">
        <f>DASHBOARD!$D$36</f>
        <v>45.12</v>
      </c>
      <c r="I144" s="34">
        <v>8</v>
      </c>
      <c r="J144" s="354">
        <v>2.2857142860000002</v>
      </c>
      <c r="K144" s="11">
        <f>D118*F143*I144*J144</f>
        <v>0</v>
      </c>
      <c r="L144" s="6">
        <f>H144*I144*J144</f>
        <v>825.05142867456004</v>
      </c>
      <c r="N144" s="87" t="s">
        <v>112</v>
      </c>
    </row>
    <row r="145" spans="2:14">
      <c r="B145" s="17"/>
      <c r="G145" s="41" t="s">
        <v>12</v>
      </c>
      <c r="H145" s="7">
        <f>DASHBOARD!$D$37</f>
        <v>19.8</v>
      </c>
      <c r="I145" s="34">
        <v>8</v>
      </c>
      <c r="J145" s="354">
        <v>2.2857142860000002</v>
      </c>
      <c r="K145" s="11">
        <f>D118*F143*I145*J145</f>
        <v>0</v>
      </c>
      <c r="L145" s="6">
        <f t="shared" ref="L145:L155" si="5">H145*I145*J145</f>
        <v>362.05714290240002</v>
      </c>
      <c r="N145" s="87" t="s">
        <v>113</v>
      </c>
    </row>
    <row r="146" spans="2:14">
      <c r="B146" s="17"/>
      <c r="G146" s="41" t="s">
        <v>13</v>
      </c>
      <c r="H146" s="7">
        <f>DASHBOARD!$D$38</f>
        <v>39.6</v>
      </c>
      <c r="I146" s="34">
        <v>8</v>
      </c>
      <c r="J146" s="5">
        <f>0.18*(8/7)</f>
        <v>0.20571428571428568</v>
      </c>
      <c r="K146" s="71">
        <f>D118*F143*I146*J146</f>
        <v>0</v>
      </c>
      <c r="L146" s="6">
        <f t="shared" si="5"/>
        <v>65.170285714285711</v>
      </c>
      <c r="N146" s="87" t="s">
        <v>114</v>
      </c>
    </row>
    <row r="147" spans="2:14">
      <c r="B147" s="17"/>
      <c r="G147" s="41" t="s">
        <v>449</v>
      </c>
      <c r="H147" s="7">
        <f>DASHBOARD!$D$46</f>
        <v>54.804000000000002</v>
      </c>
      <c r="I147" s="34">
        <v>8</v>
      </c>
      <c r="J147" s="5">
        <f>0.19*(8/7)</f>
        <v>0.21714285714285714</v>
      </c>
      <c r="K147" s="249">
        <f>D118*F143*I147*J147</f>
        <v>0</v>
      </c>
      <c r="L147" s="6">
        <f t="shared" si="5"/>
        <v>95.202377142857145</v>
      </c>
      <c r="N147" s="87" t="s">
        <v>115</v>
      </c>
    </row>
    <row r="148" spans="2:14">
      <c r="B148" s="17"/>
      <c r="G148" s="41" t="s">
        <v>325</v>
      </c>
      <c r="H148" s="7">
        <f>DASHBOARD!$D$43</f>
        <v>21.599999999999998</v>
      </c>
      <c r="I148" s="34">
        <v>8</v>
      </c>
      <c r="J148" s="5">
        <f>0.75*(8/7)</f>
        <v>0.8571428571428571</v>
      </c>
      <c r="K148" s="249">
        <f>D119*F144*I148*J148</f>
        <v>0</v>
      </c>
      <c r="L148" s="6">
        <f t="shared" si="5"/>
        <v>148.1142857142857</v>
      </c>
      <c r="N148" s="87"/>
    </row>
    <row r="149" spans="2:14">
      <c r="B149" s="17"/>
      <c r="G149" s="5" t="s">
        <v>8</v>
      </c>
      <c r="H149" s="7">
        <f>DASHBOARD!$D$56</f>
        <v>0.16259999999999999</v>
      </c>
      <c r="I149" s="34">
        <v>1</v>
      </c>
      <c r="J149" s="5">
        <v>8</v>
      </c>
      <c r="K149" s="5"/>
      <c r="L149" s="6">
        <f t="shared" si="5"/>
        <v>1.3008</v>
      </c>
      <c r="M149" s="1" t="s">
        <v>121</v>
      </c>
      <c r="N149" s="87" t="s">
        <v>116</v>
      </c>
    </row>
    <row r="150" spans="2:14">
      <c r="B150" s="17"/>
      <c r="G150" s="5" t="s">
        <v>41</v>
      </c>
      <c r="H150" s="7">
        <f>DASHBOARD!$D$57</f>
        <v>3.95</v>
      </c>
      <c r="I150" s="34">
        <v>1</v>
      </c>
      <c r="J150" s="5">
        <v>8</v>
      </c>
      <c r="K150" s="5"/>
      <c r="L150" s="6">
        <f t="shared" si="5"/>
        <v>31.6</v>
      </c>
      <c r="M150" s="1" t="s">
        <v>122</v>
      </c>
      <c r="N150" s="87" t="s">
        <v>117</v>
      </c>
    </row>
    <row r="151" spans="2:14">
      <c r="B151" s="17"/>
      <c r="G151" s="5" t="s">
        <v>9</v>
      </c>
      <c r="H151" s="7">
        <f>DASHBOARD!$D$58</f>
        <v>13.95</v>
      </c>
      <c r="I151" s="34">
        <v>1</v>
      </c>
      <c r="J151" s="5">
        <v>11</v>
      </c>
      <c r="K151" s="5"/>
      <c r="L151" s="6">
        <f t="shared" si="5"/>
        <v>153.44999999999999</v>
      </c>
      <c r="M151" s="1" t="s">
        <v>122</v>
      </c>
      <c r="N151" s="87" t="s">
        <v>118</v>
      </c>
    </row>
    <row r="152" spans="2:14">
      <c r="B152" s="17"/>
      <c r="G152" s="5" t="s">
        <v>16</v>
      </c>
      <c r="H152" s="7">
        <f>DASHBOARD!$D$59</f>
        <v>0.23960000000000001</v>
      </c>
      <c r="I152" s="34">
        <v>1</v>
      </c>
      <c r="J152" s="5">
        <v>208</v>
      </c>
      <c r="K152" s="5"/>
      <c r="L152" s="6">
        <f t="shared" si="5"/>
        <v>49.836800000000004</v>
      </c>
      <c r="M152" s="1" t="s">
        <v>123</v>
      </c>
      <c r="N152" s="87" t="s">
        <v>119</v>
      </c>
    </row>
    <row r="153" spans="2:14">
      <c r="B153" s="17"/>
      <c r="G153" s="5" t="s">
        <v>10</v>
      </c>
      <c r="H153" s="7">
        <f>DASHBOARD!$D$60</f>
        <v>1.7004999999999999</v>
      </c>
      <c r="I153" s="34">
        <v>1</v>
      </c>
      <c r="J153" s="5">
        <v>200</v>
      </c>
      <c r="K153" s="5"/>
      <c r="L153" s="6">
        <f t="shared" si="5"/>
        <v>340.09999999999997</v>
      </c>
      <c r="M153" s="1" t="s">
        <v>124</v>
      </c>
      <c r="N153" s="87" t="s">
        <v>119</v>
      </c>
    </row>
    <row r="154" spans="2:14">
      <c r="B154" s="17"/>
      <c r="G154" s="5" t="s">
        <v>144</v>
      </c>
      <c r="H154" s="7">
        <f>DASHBOARD!$D$61</f>
        <v>3.32</v>
      </c>
      <c r="I154" s="34">
        <v>1</v>
      </c>
      <c r="J154" s="5">
        <v>100</v>
      </c>
      <c r="K154" s="5"/>
      <c r="L154" s="6">
        <f t="shared" si="5"/>
        <v>332</v>
      </c>
      <c r="M154" s="1" t="s">
        <v>145</v>
      </c>
      <c r="N154" s="89" t="s">
        <v>147</v>
      </c>
    </row>
    <row r="155" spans="2:14">
      <c r="B155" s="17"/>
      <c r="G155" s="5" t="s">
        <v>11</v>
      </c>
      <c r="H155" s="7">
        <f>DASHBOARD!$D$62</f>
        <v>0.72</v>
      </c>
      <c r="I155" s="34">
        <v>1</v>
      </c>
      <c r="J155" s="5">
        <f>100</f>
        <v>100</v>
      </c>
      <c r="K155" s="5"/>
      <c r="L155" s="6">
        <f t="shared" si="5"/>
        <v>72</v>
      </c>
      <c r="M155" s="1" t="s">
        <v>146</v>
      </c>
      <c r="N155" s="89" t="s">
        <v>148</v>
      </c>
    </row>
    <row r="156" spans="2:14">
      <c r="B156" s="17"/>
      <c r="G156" s="42" t="s">
        <v>202</v>
      </c>
      <c r="H156" s="3">
        <v>0</v>
      </c>
      <c r="I156" s="32">
        <v>1</v>
      </c>
      <c r="J156" s="11">
        <v>100</v>
      </c>
      <c r="K156" s="11"/>
      <c r="L156" s="6">
        <f>H156*I156*J156</f>
        <v>0</v>
      </c>
      <c r="N156" s="89"/>
    </row>
    <row r="157" spans="2:14">
      <c r="B157" s="17"/>
      <c r="F157" s="119">
        <f>DASHBOARD!$D$110</f>
        <v>0</v>
      </c>
      <c r="G157" s="120" t="s">
        <v>17</v>
      </c>
      <c r="H157" s="121">
        <f>DASHBOARD!$D$36</f>
        <v>45.12</v>
      </c>
      <c r="I157" s="122">
        <v>8</v>
      </c>
      <c r="J157" s="120">
        <f>0.625*F157*(8/7)</f>
        <v>0</v>
      </c>
      <c r="K157" s="120"/>
      <c r="L157" s="123">
        <f>F157*H157*I157*J157</f>
        <v>0</v>
      </c>
      <c r="M157" s="1" t="s">
        <v>287</v>
      </c>
      <c r="N157" s="89"/>
    </row>
    <row r="158" spans="2:14">
      <c r="B158" s="17"/>
      <c r="F158" s="124" t="s">
        <v>281</v>
      </c>
      <c r="G158" s="120" t="s">
        <v>14</v>
      </c>
      <c r="H158" s="121">
        <f>DASHBOARD!$D$35</f>
        <v>24.612000000000002</v>
      </c>
      <c r="I158" s="122">
        <v>8</v>
      </c>
      <c r="J158" s="120">
        <f>0.625*(8/7)</f>
        <v>0.71428571428571419</v>
      </c>
      <c r="K158" s="120"/>
      <c r="L158" s="123">
        <f>F157*H158*I158*J158</f>
        <v>0</v>
      </c>
      <c r="M158" s="1" t="s">
        <v>287</v>
      </c>
      <c r="N158" s="89"/>
    </row>
    <row r="159" spans="2:14">
      <c r="B159" s="17"/>
      <c r="F159" s="124"/>
      <c r="G159" s="120" t="s">
        <v>291</v>
      </c>
      <c r="H159" s="121">
        <f>DASHBOARD!$D$59</f>
        <v>0.23960000000000001</v>
      </c>
      <c r="I159" s="122">
        <v>1</v>
      </c>
      <c r="J159" s="120">
        <v>100</v>
      </c>
      <c r="K159" s="120"/>
      <c r="L159" s="123">
        <f>F157*H159*I159*J159</f>
        <v>0</v>
      </c>
      <c r="N159" s="89"/>
    </row>
    <row r="160" spans="2:14">
      <c r="B160" s="17"/>
      <c r="F160" s="119"/>
      <c r="G160" s="120" t="s">
        <v>284</v>
      </c>
      <c r="H160" s="121">
        <v>10</v>
      </c>
      <c r="I160" s="122">
        <v>1</v>
      </c>
      <c r="J160" s="120">
        <v>100</v>
      </c>
      <c r="K160" s="120"/>
      <c r="L160" s="123">
        <f>F157*H160*I160*J160</f>
        <v>0</v>
      </c>
      <c r="M160" s="1" t="s">
        <v>290</v>
      </c>
      <c r="N160" s="89"/>
    </row>
    <row r="161" spans="2:14">
      <c r="B161" s="17"/>
      <c r="F161" s="119"/>
      <c r="G161" s="120" t="s">
        <v>283</v>
      </c>
      <c r="H161" s="121">
        <v>0.84</v>
      </c>
      <c r="I161" s="122">
        <v>1</v>
      </c>
      <c r="J161" s="120">
        <v>100</v>
      </c>
      <c r="K161" s="120"/>
      <c r="L161" s="123">
        <f>F157*H161*I161*J161</f>
        <v>0</v>
      </c>
      <c r="M161" s="1" t="s">
        <v>288</v>
      </c>
      <c r="N161" s="88" t="s">
        <v>289</v>
      </c>
    </row>
    <row r="162" spans="2:14">
      <c r="B162" s="17"/>
      <c r="F162" s="154">
        <f>DASHBOARD!$D$112</f>
        <v>0</v>
      </c>
      <c r="G162" s="155" t="s">
        <v>386</v>
      </c>
      <c r="H162" s="156">
        <f>DASHBOARD!$D$42</f>
        <v>30</v>
      </c>
      <c r="I162" s="157">
        <v>8</v>
      </c>
      <c r="J162" s="155">
        <f>((DASHBOARD!$D$113*100)/480)*(8/7)</f>
        <v>1.1904761904761905</v>
      </c>
      <c r="K162" s="155">
        <f>D119*F143*F162*I162*J162</f>
        <v>0</v>
      </c>
      <c r="L162" s="158">
        <f>F162*H162*I162*J162</f>
        <v>0</v>
      </c>
      <c r="M162" s="1" t="s">
        <v>460</v>
      </c>
      <c r="N162" s="88" t="s">
        <v>387</v>
      </c>
    </row>
    <row r="163" spans="2:14">
      <c r="B163" s="17"/>
      <c r="F163" s="159" t="s">
        <v>281</v>
      </c>
      <c r="G163" s="155" t="s">
        <v>382</v>
      </c>
      <c r="H163" s="156">
        <f>DASHBOARD!$D$59</f>
        <v>0.23960000000000001</v>
      </c>
      <c r="I163" s="157">
        <v>1</v>
      </c>
      <c r="J163" s="155">
        <v>100</v>
      </c>
      <c r="K163" s="155"/>
      <c r="L163" s="158">
        <f>F162*H163*I163*J163</f>
        <v>0</v>
      </c>
      <c r="M163" s="1" t="s">
        <v>388</v>
      </c>
      <c r="N163" s="88"/>
    </row>
    <row r="164" spans="2:14">
      <c r="B164" s="17"/>
      <c r="F164" s="159" t="s">
        <v>380</v>
      </c>
      <c r="G164" s="155" t="s">
        <v>383</v>
      </c>
      <c r="H164" s="156">
        <f>DASHBOARD!$D$60</f>
        <v>1.7004999999999999</v>
      </c>
      <c r="I164" s="157">
        <v>1</v>
      </c>
      <c r="J164" s="155">
        <v>100</v>
      </c>
      <c r="K164" s="155"/>
      <c r="L164" s="158">
        <f>F162*H164*I164*J164</f>
        <v>0</v>
      </c>
      <c r="M164" s="1" t="s">
        <v>388</v>
      </c>
      <c r="N164" s="88"/>
    </row>
    <row r="165" spans="2:14">
      <c r="B165" s="17"/>
      <c r="F165" s="154"/>
      <c r="G165" s="155" t="s">
        <v>41</v>
      </c>
      <c r="H165" s="156">
        <f>DASHBOARD!$D$57</f>
        <v>3.95</v>
      </c>
      <c r="I165" s="157">
        <v>1</v>
      </c>
      <c r="J165" s="155">
        <f>I162*J162/2</f>
        <v>4.7619047619047619</v>
      </c>
      <c r="K165" s="155"/>
      <c r="L165" s="158">
        <f>F162*H165*I165*J165</f>
        <v>0</v>
      </c>
      <c r="M165" s="1" t="s">
        <v>385</v>
      </c>
      <c r="N165" s="88"/>
    </row>
    <row r="166" spans="2:14">
      <c r="B166" s="17"/>
      <c r="F166" s="154"/>
      <c r="G166" s="155" t="s">
        <v>384</v>
      </c>
      <c r="H166" s="156">
        <f>DASHBOARD!$D$58</f>
        <v>13.95</v>
      </c>
      <c r="I166" s="157">
        <v>1</v>
      </c>
      <c r="J166" s="155">
        <f>I162*J162/2</f>
        <v>4.7619047619047619</v>
      </c>
      <c r="K166" s="155"/>
      <c r="L166" s="158">
        <f>F162*H166*I166*J166</f>
        <v>0</v>
      </c>
      <c r="M166" s="1" t="s">
        <v>385</v>
      </c>
      <c r="N166" s="88"/>
    </row>
    <row r="167" spans="2:14">
      <c r="B167" s="17"/>
      <c r="F167" s="154"/>
      <c r="G167" s="155" t="s">
        <v>389</v>
      </c>
      <c r="H167" s="156">
        <f>DASHBOARD!$D$71</f>
        <v>2.2799999999999998</v>
      </c>
      <c r="I167" s="157">
        <v>1</v>
      </c>
      <c r="J167" s="155">
        <v>100</v>
      </c>
      <c r="K167" s="155"/>
      <c r="L167" s="158">
        <f>F162*H167*I167*J167</f>
        <v>0</v>
      </c>
      <c r="M167" s="1" t="s">
        <v>390</v>
      </c>
      <c r="N167" s="88" t="s">
        <v>391</v>
      </c>
    </row>
    <row r="168" spans="2:14">
      <c r="B168" s="17"/>
      <c r="F168" s="154"/>
      <c r="G168" s="155" t="s">
        <v>392</v>
      </c>
      <c r="H168" s="156">
        <f>DASHBOARD!$D$72</f>
        <v>0.39</v>
      </c>
      <c r="I168" s="157">
        <v>1</v>
      </c>
      <c r="J168" s="155">
        <v>100</v>
      </c>
      <c r="K168" s="155"/>
      <c r="L168" s="158">
        <f>F162*H168*I168*J168</f>
        <v>0</v>
      </c>
      <c r="M168" s="1" t="s">
        <v>393</v>
      </c>
      <c r="N168" s="88" t="s">
        <v>394</v>
      </c>
    </row>
    <row r="169" spans="2:14" ht="47.25">
      <c r="B169" s="17"/>
      <c r="D169" s="115">
        <f>(1-(C5/C4))*0.7*DASHBOARD!$D$139</f>
        <v>0.12567960783285714</v>
      </c>
      <c r="E169" s="21" t="s">
        <v>258</v>
      </c>
      <c r="F169" s="2">
        <f>DASHBOARD!$D$123</f>
        <v>0</v>
      </c>
      <c r="G169" s="41" t="s">
        <v>14</v>
      </c>
      <c r="H169" s="7">
        <f>DASHBOARD!$D$35</f>
        <v>24.612000000000002</v>
      </c>
      <c r="I169" s="34">
        <v>8</v>
      </c>
      <c r="J169" s="5">
        <f>J170+2/2</f>
        <v>1.6</v>
      </c>
      <c r="K169" s="11">
        <f>D169*F169*I169*J169</f>
        <v>0</v>
      </c>
      <c r="L169" s="6">
        <f>H169*I169*J169</f>
        <v>315.03360000000004</v>
      </c>
      <c r="M169" s="1" t="s">
        <v>322</v>
      </c>
      <c r="N169" s="83" t="s">
        <v>111</v>
      </c>
    </row>
    <row r="170" spans="2:14">
      <c r="B170" s="17"/>
      <c r="G170" s="41" t="s">
        <v>17</v>
      </c>
      <c r="H170" s="7">
        <f>DASHBOARD!$D$36</f>
        <v>45.12</v>
      </c>
      <c r="I170" s="34">
        <v>8</v>
      </c>
      <c r="J170" s="5">
        <f>DASHBOARD!$D$146*100/480</f>
        <v>0.6</v>
      </c>
      <c r="K170" s="11">
        <f>D169*F169*I170*J170</f>
        <v>0</v>
      </c>
      <c r="L170" s="6">
        <f>H170*I170*J170</f>
        <v>216.57599999999999</v>
      </c>
      <c r="M170" s="1" t="s">
        <v>321</v>
      </c>
      <c r="N170" s="87" t="s">
        <v>112</v>
      </c>
    </row>
    <row r="171" spans="2:14">
      <c r="B171" s="17"/>
      <c r="G171" s="41" t="s">
        <v>6</v>
      </c>
      <c r="H171" s="3">
        <f>DASHBOARD!$D$40</f>
        <v>24.276</v>
      </c>
      <c r="I171" s="34">
        <v>8</v>
      </c>
      <c r="J171" s="5">
        <f>J170</f>
        <v>0.6</v>
      </c>
      <c r="K171" s="11">
        <f>D169*F169*I171*J171</f>
        <v>0</v>
      </c>
      <c r="L171" s="6">
        <f t="shared" ref="L171:L173" si="6">H171*I171*J171</f>
        <v>116.5248</v>
      </c>
      <c r="N171" s="87" t="s">
        <v>114</v>
      </c>
    </row>
    <row r="172" spans="2:14">
      <c r="B172" s="17"/>
      <c r="G172" s="41" t="s">
        <v>12</v>
      </c>
      <c r="H172" s="7">
        <f>DASHBOARD!$D$37</f>
        <v>19.8</v>
      </c>
      <c r="I172" s="34">
        <v>8</v>
      </c>
      <c r="J172" s="5">
        <v>0.8</v>
      </c>
      <c r="K172" s="71">
        <f>D169*F169*I172*J172</f>
        <v>0</v>
      </c>
      <c r="L172" s="6">
        <f t="shared" si="6"/>
        <v>126.72000000000001</v>
      </c>
      <c r="M172" s="1" t="s">
        <v>320</v>
      </c>
      <c r="N172" s="87"/>
    </row>
    <row r="173" spans="2:14">
      <c r="B173" s="17"/>
      <c r="G173" s="41" t="s">
        <v>449</v>
      </c>
      <c r="H173" s="7">
        <f>DASHBOARD!$D$46</f>
        <v>54.804000000000002</v>
      </c>
      <c r="I173" s="34">
        <v>8</v>
      </c>
      <c r="J173" s="5">
        <v>0.2</v>
      </c>
      <c r="K173" s="249">
        <f>D169*F169*I173*J173</f>
        <v>0</v>
      </c>
      <c r="L173" s="6">
        <f t="shared" si="6"/>
        <v>87.686400000000006</v>
      </c>
      <c r="M173" s="1" t="s">
        <v>324</v>
      </c>
      <c r="N173" s="87"/>
    </row>
    <row r="174" spans="2:14">
      <c r="B174" s="17"/>
      <c r="G174" s="42" t="s">
        <v>202</v>
      </c>
      <c r="H174" s="3">
        <v>0</v>
      </c>
      <c r="I174" s="32">
        <v>1</v>
      </c>
      <c r="J174" s="11">
        <v>100</v>
      </c>
      <c r="K174" s="71"/>
      <c r="L174" s="6">
        <f>H174*I174*J174</f>
        <v>0</v>
      </c>
      <c r="N174" s="87"/>
    </row>
    <row r="175" spans="2:14">
      <c r="B175" s="17"/>
      <c r="G175" s="41" t="s">
        <v>323</v>
      </c>
      <c r="H175" s="7">
        <f>DASHBOARD!$D$47</f>
        <v>60</v>
      </c>
      <c r="I175" s="34">
        <v>8</v>
      </c>
      <c r="J175" s="5">
        <v>0.2</v>
      </c>
      <c r="K175" s="71">
        <f>D169*F169*I175*J175</f>
        <v>0</v>
      </c>
      <c r="L175" s="6">
        <f t="shared" ref="L175:L183" si="7">H175*I175*J175</f>
        <v>96</v>
      </c>
      <c r="M175" s="1" t="s">
        <v>324</v>
      </c>
      <c r="N175" s="87"/>
    </row>
    <row r="176" spans="2:14">
      <c r="B176" s="17"/>
      <c r="G176" s="41" t="s">
        <v>325</v>
      </c>
      <c r="H176" s="7">
        <f>DASHBOARD!$D$43</f>
        <v>21.599999999999998</v>
      </c>
      <c r="I176" s="34">
        <v>8</v>
      </c>
      <c r="J176" s="5">
        <v>0.8</v>
      </c>
      <c r="K176" s="71">
        <f>D169*F169*I176*J176</f>
        <v>0</v>
      </c>
      <c r="L176" s="6">
        <f t="shared" si="7"/>
        <v>138.23999999999998</v>
      </c>
      <c r="M176" s="1" t="s">
        <v>326</v>
      </c>
      <c r="N176" s="87"/>
    </row>
    <row r="177" spans="2:14">
      <c r="B177" s="17"/>
      <c r="G177" s="5" t="s">
        <v>8</v>
      </c>
      <c r="H177" s="7">
        <f>DASHBOARD!$D$56</f>
        <v>0.16259999999999999</v>
      </c>
      <c r="I177" s="34">
        <v>1</v>
      </c>
      <c r="J177" s="5">
        <f>4*J169</f>
        <v>6.4</v>
      </c>
      <c r="K177" s="5"/>
      <c r="L177" s="6">
        <f t="shared" si="7"/>
        <v>1.04064</v>
      </c>
      <c r="M177" s="1" t="s">
        <v>121</v>
      </c>
      <c r="N177" s="87" t="s">
        <v>116</v>
      </c>
    </row>
    <row r="178" spans="2:14">
      <c r="B178" s="17"/>
      <c r="G178" s="5" t="s">
        <v>41</v>
      </c>
      <c r="H178" s="7">
        <f>DASHBOARD!$D$57</f>
        <v>3.95</v>
      </c>
      <c r="I178" s="34">
        <v>1</v>
      </c>
      <c r="J178" s="5">
        <f>(4*J170)+(4*J171)+(4*0.6)</f>
        <v>7.1999999999999993</v>
      </c>
      <c r="K178" s="5"/>
      <c r="L178" s="6">
        <f t="shared" si="7"/>
        <v>28.439999999999998</v>
      </c>
      <c r="M178" s="1" t="s">
        <v>122</v>
      </c>
      <c r="N178" s="87" t="s">
        <v>117</v>
      </c>
    </row>
    <row r="179" spans="2:14">
      <c r="B179" s="17"/>
      <c r="G179" s="5" t="s">
        <v>9</v>
      </c>
      <c r="H179" s="7">
        <f>DASHBOARD!$D$58</f>
        <v>13.95</v>
      </c>
      <c r="I179" s="34">
        <v>1</v>
      </c>
      <c r="J179" s="5">
        <f>(4*J170)+(4*J171)+(4*0.6)</f>
        <v>7.1999999999999993</v>
      </c>
      <c r="K179" s="5"/>
      <c r="L179" s="6">
        <f t="shared" si="7"/>
        <v>100.43999999999998</v>
      </c>
      <c r="M179" s="1" t="s">
        <v>122</v>
      </c>
      <c r="N179" s="87" t="s">
        <v>118</v>
      </c>
    </row>
    <row r="180" spans="2:14">
      <c r="B180" s="17"/>
      <c r="G180" s="5" t="s">
        <v>16</v>
      </c>
      <c r="H180" s="7">
        <f>DASHBOARD!$D$59</f>
        <v>0.23960000000000001</v>
      </c>
      <c r="I180" s="34">
        <v>1</v>
      </c>
      <c r="J180" s="5">
        <f>(4*(J169-0.6))+100+100+100</f>
        <v>304</v>
      </c>
      <c r="K180" s="5"/>
      <c r="L180" s="6">
        <f t="shared" si="7"/>
        <v>72.838400000000007</v>
      </c>
      <c r="M180" s="1" t="s">
        <v>123</v>
      </c>
      <c r="N180" s="87" t="s">
        <v>119</v>
      </c>
    </row>
    <row r="181" spans="2:14">
      <c r="B181" s="17"/>
      <c r="G181" s="5" t="s">
        <v>10</v>
      </c>
      <c r="H181" s="7">
        <f>DASHBOARD!$D$60</f>
        <v>1.7004999999999999</v>
      </c>
      <c r="I181" s="34">
        <v>1</v>
      </c>
      <c r="J181" s="5">
        <f>100+100+100</f>
        <v>300</v>
      </c>
      <c r="K181" s="5"/>
      <c r="L181" s="6">
        <f t="shared" si="7"/>
        <v>510.15</v>
      </c>
      <c r="M181" s="1" t="s">
        <v>124</v>
      </c>
      <c r="N181" s="87" t="s">
        <v>119</v>
      </c>
    </row>
    <row r="182" spans="2:14">
      <c r="B182" s="17"/>
      <c r="G182" s="5" t="s">
        <v>144</v>
      </c>
      <c r="H182" s="7">
        <f>DASHBOARD!$D$61</f>
        <v>3.32</v>
      </c>
      <c r="I182" s="34">
        <v>1</v>
      </c>
      <c r="J182" s="5">
        <v>100</v>
      </c>
      <c r="K182" s="5"/>
      <c r="L182" s="6">
        <f t="shared" si="7"/>
        <v>332</v>
      </c>
      <c r="M182" s="1" t="s">
        <v>145</v>
      </c>
      <c r="N182" s="89" t="s">
        <v>147</v>
      </c>
    </row>
    <row r="183" spans="2:14">
      <c r="B183" s="17"/>
      <c r="G183" s="5" t="s">
        <v>11</v>
      </c>
      <c r="H183" s="7">
        <f>DASHBOARD!$D$62</f>
        <v>0.72</v>
      </c>
      <c r="I183" s="34">
        <v>1</v>
      </c>
      <c r="J183" s="5">
        <f>100</f>
        <v>100</v>
      </c>
      <c r="K183" s="5"/>
      <c r="L183" s="6">
        <f t="shared" si="7"/>
        <v>72</v>
      </c>
      <c r="M183" s="1" t="s">
        <v>146</v>
      </c>
      <c r="N183" s="89" t="s">
        <v>148</v>
      </c>
    </row>
    <row r="184" spans="2:14">
      <c r="B184" s="17"/>
      <c r="F184" s="119">
        <f>DASHBOARD!$D$110</f>
        <v>0</v>
      </c>
      <c r="G184" s="120" t="s">
        <v>17</v>
      </c>
      <c r="H184" s="121">
        <f>DASHBOARD!$D$36</f>
        <v>45.12</v>
      </c>
      <c r="I184" s="122">
        <v>8</v>
      </c>
      <c r="J184" s="120">
        <f>0.625*F184*(8/7)</f>
        <v>0</v>
      </c>
      <c r="K184" s="120"/>
      <c r="L184" s="123">
        <f>F184*H184*I184*J184</f>
        <v>0</v>
      </c>
      <c r="M184" s="1" t="s">
        <v>287</v>
      </c>
      <c r="N184" s="89"/>
    </row>
    <row r="185" spans="2:14">
      <c r="B185" s="17"/>
      <c r="F185" s="124" t="s">
        <v>281</v>
      </c>
      <c r="G185" s="120" t="s">
        <v>6</v>
      </c>
      <c r="H185" s="121">
        <f>DASHBOARD!$D$40</f>
        <v>24.276</v>
      </c>
      <c r="I185" s="122">
        <v>8</v>
      </c>
      <c r="J185" s="120">
        <f>0.625*(8/7)</f>
        <v>0.71428571428571419</v>
      </c>
      <c r="K185" s="120"/>
      <c r="L185" s="123">
        <f>F184*H185*I185*J185</f>
        <v>0</v>
      </c>
      <c r="M185" s="1" t="s">
        <v>287</v>
      </c>
      <c r="N185" s="89"/>
    </row>
    <row r="186" spans="2:14">
      <c r="B186" s="17"/>
      <c r="F186" s="124"/>
      <c r="G186" s="120" t="s">
        <v>291</v>
      </c>
      <c r="H186" s="121">
        <f>DASHBOARD!$D$59</f>
        <v>0.23960000000000001</v>
      </c>
      <c r="I186" s="122">
        <v>1</v>
      </c>
      <c r="J186" s="120">
        <v>0</v>
      </c>
      <c r="K186" s="120"/>
      <c r="L186" s="123">
        <f>F184*H186*I186*J186</f>
        <v>0</v>
      </c>
      <c r="N186" s="89"/>
    </row>
    <row r="187" spans="2:14">
      <c r="B187" s="17"/>
      <c r="F187" s="119"/>
      <c r="G187" s="120" t="s">
        <v>284</v>
      </c>
      <c r="H187" s="121">
        <v>10</v>
      </c>
      <c r="I187" s="122">
        <v>1</v>
      </c>
      <c r="J187" s="120">
        <v>100</v>
      </c>
      <c r="K187" s="120"/>
      <c r="L187" s="123">
        <f>F184*H187*I187*J187</f>
        <v>0</v>
      </c>
      <c r="M187" s="1" t="s">
        <v>290</v>
      </c>
      <c r="N187" s="89"/>
    </row>
    <row r="188" spans="2:14">
      <c r="B188" s="17"/>
      <c r="F188" s="119"/>
      <c r="G188" s="120" t="s">
        <v>283</v>
      </c>
      <c r="H188" s="121">
        <v>0.84</v>
      </c>
      <c r="I188" s="122">
        <v>1</v>
      </c>
      <c r="J188" s="120">
        <v>100</v>
      </c>
      <c r="K188" s="120"/>
      <c r="L188" s="123">
        <f>F184*H188*I188*J188</f>
        <v>0</v>
      </c>
      <c r="M188" s="1" t="s">
        <v>288</v>
      </c>
      <c r="N188" s="88" t="s">
        <v>289</v>
      </c>
    </row>
    <row r="189" spans="2:14">
      <c r="B189" s="17"/>
      <c r="F189" s="154">
        <f>DASHBOARD!$D$112</f>
        <v>0</v>
      </c>
      <c r="G189" s="155" t="s">
        <v>386</v>
      </c>
      <c r="H189" s="156">
        <f>DASHBOARD!$D$42</f>
        <v>30</v>
      </c>
      <c r="I189" s="157">
        <v>8</v>
      </c>
      <c r="J189" s="155">
        <f>((DASHBOARD!$D$113*100)/480)*(8/7)</f>
        <v>1.1904761904761905</v>
      </c>
      <c r="K189" s="155">
        <f>D169*F169*F189*I189*J189</f>
        <v>0</v>
      </c>
      <c r="L189" s="158">
        <f>F189*H189*I189*J189</f>
        <v>0</v>
      </c>
      <c r="M189" s="1" t="s">
        <v>460</v>
      </c>
      <c r="N189" s="88" t="s">
        <v>387</v>
      </c>
    </row>
    <row r="190" spans="2:14">
      <c r="B190" s="17"/>
      <c r="F190" s="159" t="s">
        <v>281</v>
      </c>
      <c r="G190" s="155" t="s">
        <v>382</v>
      </c>
      <c r="H190" s="156">
        <f>DASHBOARD!$D$59</f>
        <v>0.23960000000000001</v>
      </c>
      <c r="I190" s="157">
        <v>1</v>
      </c>
      <c r="J190" s="155">
        <v>100</v>
      </c>
      <c r="K190" s="155"/>
      <c r="L190" s="158">
        <f>F189*H190*I190*J190</f>
        <v>0</v>
      </c>
      <c r="M190" s="1" t="s">
        <v>388</v>
      </c>
      <c r="N190" s="88"/>
    </row>
    <row r="191" spans="2:14">
      <c r="B191" s="17"/>
      <c r="F191" s="159" t="s">
        <v>380</v>
      </c>
      <c r="G191" s="155" t="s">
        <v>383</v>
      </c>
      <c r="H191" s="156">
        <f>DASHBOARD!$D$60</f>
        <v>1.7004999999999999</v>
      </c>
      <c r="I191" s="157">
        <v>1</v>
      </c>
      <c r="J191" s="155">
        <v>100</v>
      </c>
      <c r="K191" s="155"/>
      <c r="L191" s="158">
        <f>F189*H191*I191*J191</f>
        <v>0</v>
      </c>
      <c r="M191" s="1" t="s">
        <v>388</v>
      </c>
      <c r="N191" s="88"/>
    </row>
    <row r="192" spans="2:14">
      <c r="B192" s="17"/>
      <c r="F192" s="154"/>
      <c r="G192" s="155" t="s">
        <v>41</v>
      </c>
      <c r="H192" s="156">
        <f>DASHBOARD!$D$57</f>
        <v>3.95</v>
      </c>
      <c r="I192" s="157">
        <v>1</v>
      </c>
      <c r="J192" s="155">
        <f>I189*J189/2</f>
        <v>4.7619047619047619</v>
      </c>
      <c r="K192" s="155"/>
      <c r="L192" s="158">
        <f>F189*H192*I192*J192</f>
        <v>0</v>
      </c>
      <c r="M192" s="1" t="s">
        <v>385</v>
      </c>
      <c r="N192" s="88"/>
    </row>
    <row r="193" spans="2:14">
      <c r="B193" s="17"/>
      <c r="F193" s="154"/>
      <c r="G193" s="155" t="s">
        <v>384</v>
      </c>
      <c r="H193" s="156">
        <f>DASHBOARD!$D$58</f>
        <v>13.95</v>
      </c>
      <c r="I193" s="157">
        <v>1</v>
      </c>
      <c r="J193" s="155">
        <f>I189*J189/2</f>
        <v>4.7619047619047619</v>
      </c>
      <c r="K193" s="155"/>
      <c r="L193" s="158">
        <f>F189*H193*I193*J193</f>
        <v>0</v>
      </c>
      <c r="M193" s="1" t="s">
        <v>385</v>
      </c>
      <c r="N193" s="88"/>
    </row>
    <row r="194" spans="2:14">
      <c r="B194" s="17"/>
      <c r="F194" s="154"/>
      <c r="G194" s="155" t="s">
        <v>389</v>
      </c>
      <c r="H194" s="156">
        <f>DASHBOARD!$D$71</f>
        <v>2.2799999999999998</v>
      </c>
      <c r="I194" s="157">
        <v>1</v>
      </c>
      <c r="J194" s="155">
        <v>100</v>
      </c>
      <c r="K194" s="155"/>
      <c r="L194" s="158">
        <f>F189*H194*I194*J194</f>
        <v>0</v>
      </c>
      <c r="M194" s="1" t="s">
        <v>390</v>
      </c>
      <c r="N194" s="88" t="s">
        <v>391</v>
      </c>
    </row>
    <row r="195" spans="2:14">
      <c r="B195" s="17"/>
      <c r="F195" s="154"/>
      <c r="G195" s="155" t="s">
        <v>392</v>
      </c>
      <c r="H195" s="156">
        <f>DASHBOARD!$D$72</f>
        <v>0.39</v>
      </c>
      <c r="I195" s="157">
        <v>1</v>
      </c>
      <c r="J195" s="155">
        <v>100</v>
      </c>
      <c r="K195" s="155"/>
      <c r="L195" s="158">
        <f>F189*H195*I195*J195</f>
        <v>0</v>
      </c>
      <c r="M195" s="1" t="s">
        <v>393</v>
      </c>
      <c r="N195" s="88" t="s">
        <v>394</v>
      </c>
    </row>
    <row r="196" spans="2:14" ht="47.25">
      <c r="B196" s="17"/>
      <c r="F196" s="2">
        <f>1-F169</f>
        <v>1</v>
      </c>
      <c r="G196" s="41" t="s">
        <v>14</v>
      </c>
      <c r="H196" s="7">
        <f>DASHBOARD!$D$35</f>
        <v>24.612000000000002</v>
      </c>
      <c r="I196" s="34">
        <v>8</v>
      </c>
      <c r="J196" s="5">
        <f>J197+2</f>
        <v>2.6</v>
      </c>
      <c r="K196" s="11">
        <f>D170*F196*I196*J196</f>
        <v>0</v>
      </c>
      <c r="L196" s="6">
        <f>H196*I196*J196</f>
        <v>511.92960000000005</v>
      </c>
      <c r="M196" s="1" t="s">
        <v>322</v>
      </c>
      <c r="N196" s="83" t="s">
        <v>111</v>
      </c>
    </row>
    <row r="197" spans="2:14">
      <c r="B197" s="17"/>
      <c r="G197" s="41" t="s">
        <v>17</v>
      </c>
      <c r="H197" s="7">
        <f>DASHBOARD!$D$36</f>
        <v>45.12</v>
      </c>
      <c r="I197" s="34">
        <v>8</v>
      </c>
      <c r="J197" s="5">
        <f>DASHBOARD!$D$146*100/480</f>
        <v>0.6</v>
      </c>
      <c r="K197" s="11">
        <f>D170*F196*I197*J197</f>
        <v>0</v>
      </c>
      <c r="L197" s="6">
        <f>H197*I197*J197</f>
        <v>216.57599999999999</v>
      </c>
      <c r="M197" s="1" t="s">
        <v>321</v>
      </c>
      <c r="N197" s="87" t="s">
        <v>112</v>
      </c>
    </row>
    <row r="198" spans="2:14">
      <c r="B198" s="17"/>
      <c r="G198" s="41" t="s">
        <v>6</v>
      </c>
      <c r="H198" s="3">
        <f>DASHBOARD!$D$40</f>
        <v>24.276</v>
      </c>
      <c r="I198" s="34">
        <v>8</v>
      </c>
      <c r="J198" s="5">
        <f>J197</f>
        <v>0.6</v>
      </c>
      <c r="K198" s="11">
        <f>D170*F196*I198*J198</f>
        <v>0</v>
      </c>
      <c r="L198" s="6">
        <f t="shared" ref="L198:L200" si="8">H198*I198*J198</f>
        <v>116.5248</v>
      </c>
      <c r="N198" s="87" t="s">
        <v>114</v>
      </c>
    </row>
    <row r="199" spans="2:14">
      <c r="B199" s="17"/>
      <c r="G199" s="41" t="s">
        <v>12</v>
      </c>
      <c r="H199" s="7">
        <f>DASHBOARD!$D$37</f>
        <v>19.8</v>
      </c>
      <c r="I199" s="34">
        <v>8</v>
      </c>
      <c r="J199" s="5">
        <v>0.8</v>
      </c>
      <c r="K199" s="71">
        <f>D170*F196*I199*J199</f>
        <v>0</v>
      </c>
      <c r="L199" s="6">
        <f t="shared" si="8"/>
        <v>126.72000000000001</v>
      </c>
      <c r="M199" s="1" t="s">
        <v>320</v>
      </c>
      <c r="N199" s="87"/>
    </row>
    <row r="200" spans="2:14">
      <c r="B200" s="17"/>
      <c r="G200" s="41" t="s">
        <v>449</v>
      </c>
      <c r="H200" s="7">
        <f>DASHBOARD!$D$46</f>
        <v>54.804000000000002</v>
      </c>
      <c r="I200" s="34">
        <v>8</v>
      </c>
      <c r="J200" s="5">
        <v>0.2</v>
      </c>
      <c r="K200" s="249">
        <f>D170*F196*I200*J200</f>
        <v>0</v>
      </c>
      <c r="L200" s="6">
        <f t="shared" si="8"/>
        <v>87.686400000000006</v>
      </c>
      <c r="M200" s="1" t="s">
        <v>324</v>
      </c>
      <c r="N200" s="87"/>
    </row>
    <row r="201" spans="2:14">
      <c r="B201" s="17"/>
      <c r="G201" s="42" t="s">
        <v>202</v>
      </c>
      <c r="H201" s="3">
        <v>0</v>
      </c>
      <c r="I201" s="32">
        <v>1</v>
      </c>
      <c r="J201" s="11">
        <v>100</v>
      </c>
      <c r="K201" s="71"/>
      <c r="L201" s="6">
        <f>H201*I201*J201</f>
        <v>0</v>
      </c>
      <c r="N201" s="87"/>
    </row>
    <row r="202" spans="2:14">
      <c r="B202" s="17"/>
      <c r="G202" s="41" t="s">
        <v>323</v>
      </c>
      <c r="H202" s="7">
        <f>DASHBOARD!$D$47</f>
        <v>60</v>
      </c>
      <c r="I202" s="34">
        <v>8</v>
      </c>
      <c r="J202" s="5">
        <v>0.2</v>
      </c>
      <c r="K202" s="71">
        <f>D170*F196*I202*J202</f>
        <v>0</v>
      </c>
      <c r="L202" s="6">
        <f t="shared" ref="L202:L210" si="9">H202*I202*J202</f>
        <v>96</v>
      </c>
      <c r="M202" s="1" t="s">
        <v>324</v>
      </c>
      <c r="N202" s="87"/>
    </row>
    <row r="203" spans="2:14">
      <c r="B203" s="17"/>
      <c r="G203" s="41" t="s">
        <v>325</v>
      </c>
      <c r="H203" s="7">
        <f>DASHBOARD!$D$43</f>
        <v>21.599999999999998</v>
      </c>
      <c r="I203" s="34">
        <v>8</v>
      </c>
      <c r="J203" s="5">
        <v>0.8</v>
      </c>
      <c r="K203" s="71">
        <f>D170*F196*I203*J203</f>
        <v>0</v>
      </c>
      <c r="L203" s="6">
        <f t="shared" si="9"/>
        <v>138.23999999999998</v>
      </c>
      <c r="M203" s="1" t="s">
        <v>326</v>
      </c>
      <c r="N203" s="87"/>
    </row>
    <row r="204" spans="2:14">
      <c r="B204" s="17"/>
      <c r="G204" s="5" t="s">
        <v>8</v>
      </c>
      <c r="H204" s="7">
        <f>DASHBOARD!$D$56</f>
        <v>0.16259999999999999</v>
      </c>
      <c r="I204" s="34">
        <v>1</v>
      </c>
      <c r="J204" s="5">
        <f>4*J196</f>
        <v>10.4</v>
      </c>
      <c r="K204" s="5"/>
      <c r="L204" s="6">
        <f t="shared" si="9"/>
        <v>1.6910400000000001</v>
      </c>
      <c r="M204" s="1" t="s">
        <v>121</v>
      </c>
      <c r="N204" s="87" t="s">
        <v>116</v>
      </c>
    </row>
    <row r="205" spans="2:14">
      <c r="B205" s="17"/>
      <c r="G205" s="5" t="s">
        <v>41</v>
      </c>
      <c r="H205" s="7">
        <f>DASHBOARD!$D$57</f>
        <v>3.95</v>
      </c>
      <c r="I205" s="34">
        <v>1</v>
      </c>
      <c r="J205" s="5">
        <f>(4*J197)+(4*J198)+(4*0.6)</f>
        <v>7.1999999999999993</v>
      </c>
      <c r="K205" s="5"/>
      <c r="L205" s="6">
        <f t="shared" si="9"/>
        <v>28.439999999999998</v>
      </c>
      <c r="M205" s="1" t="s">
        <v>122</v>
      </c>
      <c r="N205" s="87" t="s">
        <v>117</v>
      </c>
    </row>
    <row r="206" spans="2:14">
      <c r="B206" s="17"/>
      <c r="G206" s="5" t="s">
        <v>9</v>
      </c>
      <c r="H206" s="7">
        <f>DASHBOARD!$D$58</f>
        <v>13.95</v>
      </c>
      <c r="I206" s="34">
        <v>1</v>
      </c>
      <c r="J206" s="5">
        <f>(4*J197)+(4*J198)+(4*0.6)</f>
        <v>7.1999999999999993</v>
      </c>
      <c r="K206" s="5"/>
      <c r="L206" s="6">
        <f t="shared" si="9"/>
        <v>100.43999999999998</v>
      </c>
      <c r="M206" s="1" t="s">
        <v>122</v>
      </c>
      <c r="N206" s="87" t="s">
        <v>118</v>
      </c>
    </row>
    <row r="207" spans="2:14">
      <c r="B207" s="17"/>
      <c r="G207" s="5" t="s">
        <v>16</v>
      </c>
      <c r="H207" s="7">
        <f>DASHBOARD!$D$59</f>
        <v>0.23960000000000001</v>
      </c>
      <c r="I207" s="34">
        <v>1</v>
      </c>
      <c r="J207" s="5">
        <f>(4*(J196-0.6))+100+100+100</f>
        <v>308</v>
      </c>
      <c r="K207" s="5"/>
      <c r="L207" s="6">
        <f t="shared" si="9"/>
        <v>73.796800000000005</v>
      </c>
      <c r="M207" s="1" t="s">
        <v>123</v>
      </c>
      <c r="N207" s="87" t="s">
        <v>119</v>
      </c>
    </row>
    <row r="208" spans="2:14">
      <c r="B208" s="17"/>
      <c r="G208" s="5" t="s">
        <v>10</v>
      </c>
      <c r="H208" s="7">
        <f>DASHBOARD!$D$60</f>
        <v>1.7004999999999999</v>
      </c>
      <c r="I208" s="34">
        <v>1</v>
      </c>
      <c r="J208" s="5">
        <f>100+100+100</f>
        <v>300</v>
      </c>
      <c r="K208" s="5"/>
      <c r="L208" s="6">
        <f t="shared" si="9"/>
        <v>510.15</v>
      </c>
      <c r="M208" s="1" t="s">
        <v>124</v>
      </c>
      <c r="N208" s="87" t="s">
        <v>119</v>
      </c>
    </row>
    <row r="209" spans="2:14">
      <c r="B209" s="17"/>
      <c r="G209" s="5" t="s">
        <v>144</v>
      </c>
      <c r="H209" s="7">
        <f>DASHBOARD!$D$61</f>
        <v>3.32</v>
      </c>
      <c r="I209" s="34">
        <v>1</v>
      </c>
      <c r="J209" s="5">
        <v>100</v>
      </c>
      <c r="K209" s="5"/>
      <c r="L209" s="6">
        <f t="shared" si="9"/>
        <v>332</v>
      </c>
      <c r="M209" s="1" t="s">
        <v>145</v>
      </c>
      <c r="N209" s="89" t="s">
        <v>147</v>
      </c>
    </row>
    <row r="210" spans="2:14">
      <c r="B210" s="17"/>
      <c r="G210" s="5" t="s">
        <v>11</v>
      </c>
      <c r="H210" s="7">
        <f>DASHBOARD!$D$62</f>
        <v>0.72</v>
      </c>
      <c r="I210" s="34">
        <v>1</v>
      </c>
      <c r="J210" s="5">
        <f>100</f>
        <v>100</v>
      </c>
      <c r="K210" s="5"/>
      <c r="L210" s="6">
        <f t="shared" si="9"/>
        <v>72</v>
      </c>
      <c r="M210" s="1" t="s">
        <v>146</v>
      </c>
      <c r="N210" s="89" t="s">
        <v>148</v>
      </c>
    </row>
    <row r="211" spans="2:14">
      <c r="B211" s="17"/>
      <c r="F211" s="119">
        <f>DASHBOARD!$D$110</f>
        <v>0</v>
      </c>
      <c r="G211" s="120" t="s">
        <v>17</v>
      </c>
      <c r="H211" s="121">
        <f>DASHBOARD!$D$36</f>
        <v>45.12</v>
      </c>
      <c r="I211" s="122">
        <v>8</v>
      </c>
      <c r="J211" s="120">
        <f>0.625*F211*(8/7)</f>
        <v>0</v>
      </c>
      <c r="K211" s="120"/>
      <c r="L211" s="123">
        <f>F211*H211*I211*J211</f>
        <v>0</v>
      </c>
      <c r="M211" s="1" t="s">
        <v>287</v>
      </c>
      <c r="N211" s="89"/>
    </row>
    <row r="212" spans="2:14">
      <c r="B212" s="17"/>
      <c r="F212" s="124" t="s">
        <v>281</v>
      </c>
      <c r="G212" s="120" t="s">
        <v>6</v>
      </c>
      <c r="H212" s="121">
        <f>DASHBOARD!$D$40</f>
        <v>24.276</v>
      </c>
      <c r="I212" s="122">
        <v>8</v>
      </c>
      <c r="J212" s="120">
        <f>0.625*(8/7)</f>
        <v>0.71428571428571419</v>
      </c>
      <c r="K212" s="120"/>
      <c r="L212" s="123">
        <f>F211*H212*I212*J212</f>
        <v>0</v>
      </c>
      <c r="M212" s="1" t="s">
        <v>287</v>
      </c>
      <c r="N212" s="89"/>
    </row>
    <row r="213" spans="2:14">
      <c r="B213" s="17"/>
      <c r="F213" s="124"/>
      <c r="G213" s="120" t="s">
        <v>291</v>
      </c>
      <c r="H213" s="121">
        <f>DASHBOARD!$D$59</f>
        <v>0.23960000000000001</v>
      </c>
      <c r="I213" s="122">
        <v>1</v>
      </c>
      <c r="J213" s="120">
        <v>0</v>
      </c>
      <c r="K213" s="120"/>
      <c r="L213" s="123">
        <f>F211*H213*I213*J213</f>
        <v>0</v>
      </c>
      <c r="N213" s="89"/>
    </row>
    <row r="214" spans="2:14">
      <c r="B214" s="17"/>
      <c r="F214" s="119"/>
      <c r="G214" s="120" t="s">
        <v>284</v>
      </c>
      <c r="H214" s="121">
        <v>10</v>
      </c>
      <c r="I214" s="122">
        <v>1</v>
      </c>
      <c r="J214" s="120">
        <v>100</v>
      </c>
      <c r="K214" s="120"/>
      <c r="L214" s="123">
        <f>F211*H214*I214*J214</f>
        <v>0</v>
      </c>
      <c r="M214" s="1" t="s">
        <v>290</v>
      </c>
      <c r="N214" s="89"/>
    </row>
    <row r="215" spans="2:14">
      <c r="B215" s="17"/>
      <c r="F215" s="119"/>
      <c r="G215" s="120" t="s">
        <v>283</v>
      </c>
      <c r="H215" s="121">
        <v>0.84</v>
      </c>
      <c r="I215" s="122">
        <v>1</v>
      </c>
      <c r="J215" s="120">
        <v>100</v>
      </c>
      <c r="K215" s="120"/>
      <c r="L215" s="123">
        <f>F211*H215*I215*J215</f>
        <v>0</v>
      </c>
      <c r="M215" s="1" t="s">
        <v>288</v>
      </c>
      <c r="N215" s="88" t="s">
        <v>289</v>
      </c>
    </row>
    <row r="216" spans="2:14">
      <c r="B216" s="17"/>
      <c r="F216" s="154">
        <f>DASHBOARD!$D$112</f>
        <v>0</v>
      </c>
      <c r="G216" s="155" t="s">
        <v>386</v>
      </c>
      <c r="H216" s="156">
        <f>DASHBOARD!$D$42</f>
        <v>30</v>
      </c>
      <c r="I216" s="157">
        <v>8</v>
      </c>
      <c r="J216" s="155">
        <f>((DASHBOARD!$D$113*100)/480)*(8/7)</f>
        <v>1.1904761904761905</v>
      </c>
      <c r="K216" s="155">
        <f>D171*F196*F216*I216*J216</f>
        <v>0</v>
      </c>
      <c r="L216" s="158">
        <f>F216*H216*I216*J216</f>
        <v>0</v>
      </c>
      <c r="M216" s="1" t="s">
        <v>460</v>
      </c>
      <c r="N216" s="88" t="s">
        <v>387</v>
      </c>
    </row>
    <row r="217" spans="2:14">
      <c r="B217" s="17"/>
      <c r="F217" s="159" t="s">
        <v>281</v>
      </c>
      <c r="G217" s="155" t="s">
        <v>382</v>
      </c>
      <c r="H217" s="156">
        <f>DASHBOARD!$D$59</f>
        <v>0.23960000000000001</v>
      </c>
      <c r="I217" s="157">
        <v>1</v>
      </c>
      <c r="J217" s="155">
        <v>100</v>
      </c>
      <c r="K217" s="155"/>
      <c r="L217" s="158">
        <f>F216*H217*I217*J217</f>
        <v>0</v>
      </c>
      <c r="M217" s="1" t="s">
        <v>388</v>
      </c>
      <c r="N217" s="88"/>
    </row>
    <row r="218" spans="2:14">
      <c r="B218" s="17"/>
      <c r="F218" s="159" t="s">
        <v>380</v>
      </c>
      <c r="G218" s="155" t="s">
        <v>383</v>
      </c>
      <c r="H218" s="156">
        <f>DASHBOARD!$D$60</f>
        <v>1.7004999999999999</v>
      </c>
      <c r="I218" s="157">
        <v>1</v>
      </c>
      <c r="J218" s="155">
        <v>100</v>
      </c>
      <c r="K218" s="155"/>
      <c r="L218" s="158">
        <f>F216*H218*I218*J218</f>
        <v>0</v>
      </c>
      <c r="M218" s="1" t="s">
        <v>388</v>
      </c>
      <c r="N218" s="88"/>
    </row>
    <row r="219" spans="2:14">
      <c r="B219" s="17"/>
      <c r="F219" s="154"/>
      <c r="G219" s="155" t="s">
        <v>41</v>
      </c>
      <c r="H219" s="156">
        <f>DASHBOARD!$D$57</f>
        <v>3.95</v>
      </c>
      <c r="I219" s="157">
        <v>1</v>
      </c>
      <c r="J219" s="155">
        <f>I216*J216/2</f>
        <v>4.7619047619047619</v>
      </c>
      <c r="K219" s="155"/>
      <c r="L219" s="158">
        <f>F216*H219*I219*J219</f>
        <v>0</v>
      </c>
      <c r="M219" s="1" t="s">
        <v>385</v>
      </c>
      <c r="N219" s="88"/>
    </row>
    <row r="220" spans="2:14">
      <c r="B220" s="17"/>
      <c r="F220" s="154"/>
      <c r="G220" s="155" t="s">
        <v>384</v>
      </c>
      <c r="H220" s="156">
        <f>DASHBOARD!$D$58</f>
        <v>13.95</v>
      </c>
      <c r="I220" s="157">
        <v>1</v>
      </c>
      <c r="J220" s="155">
        <f>I216*J216/2</f>
        <v>4.7619047619047619</v>
      </c>
      <c r="K220" s="155"/>
      <c r="L220" s="158">
        <f>F216*H220*I220*J220</f>
        <v>0</v>
      </c>
      <c r="M220" s="1" t="s">
        <v>385</v>
      </c>
      <c r="N220" s="88"/>
    </row>
    <row r="221" spans="2:14">
      <c r="B221" s="17"/>
      <c r="F221" s="154"/>
      <c r="G221" s="155" t="s">
        <v>389</v>
      </c>
      <c r="H221" s="156">
        <f>DASHBOARD!$D$71</f>
        <v>2.2799999999999998</v>
      </c>
      <c r="I221" s="157">
        <v>1</v>
      </c>
      <c r="J221" s="155">
        <v>100</v>
      </c>
      <c r="K221" s="155"/>
      <c r="L221" s="158">
        <f>F216*H221*I221*J221</f>
        <v>0</v>
      </c>
      <c r="M221" s="1" t="s">
        <v>390</v>
      </c>
      <c r="N221" s="88" t="s">
        <v>391</v>
      </c>
    </row>
    <row r="222" spans="2:14">
      <c r="B222" s="17"/>
      <c r="F222" s="154"/>
      <c r="G222" s="155" t="s">
        <v>392</v>
      </c>
      <c r="H222" s="156">
        <f>DASHBOARD!$D$72</f>
        <v>0.39</v>
      </c>
      <c r="I222" s="157">
        <v>1</v>
      </c>
      <c r="J222" s="155">
        <v>100</v>
      </c>
      <c r="K222" s="155"/>
      <c r="L222" s="158">
        <f>F216*H222*I222*J222</f>
        <v>0</v>
      </c>
      <c r="M222" s="1" t="s">
        <v>393</v>
      </c>
      <c r="N222" s="88" t="s">
        <v>394</v>
      </c>
    </row>
    <row r="223" spans="2:14" ht="20.100000000000001" customHeight="1" thickBot="1">
      <c r="B223" s="9" t="s">
        <v>7</v>
      </c>
      <c r="C223" s="10"/>
      <c r="D223" s="14"/>
      <c r="E223" s="20"/>
      <c r="F223" s="14"/>
      <c r="G223" s="10"/>
      <c r="H223" s="549" t="s">
        <v>81</v>
      </c>
      <c r="I223" s="549"/>
      <c r="J223" s="549"/>
      <c r="K223" s="243"/>
      <c r="L223" s="70">
        <f>(D23*F23*SUM(L23:L46))+(D23*F47*SUM(L47:L70))+(D23*F71*SUM(L71:L93))+(D23*F94*SUM(L94:L116))+(D117*F117*SUM(L117:L142))+(D117*F143*SUM(L143:L168))+(D169*F169*SUM(L169:L195))+(D169*F196*SUM(L196:L222))</f>
        <v>9259.7584070116482</v>
      </c>
      <c r="M223" s="69" t="str">
        <f>"Per Person Cost is "&amp;ROUND(L223/100,2)&amp;" and the cost per "&amp;$C$4&amp;" people is "&amp;ROUND(L223/100*$C$4,2)</f>
        <v>Per Person Cost is 92.6 and the cost per 338179 people is 31314558.38</v>
      </c>
    </row>
    <row r="224" spans="2:14" ht="50.25" customHeight="1">
      <c r="B224" s="22" t="s">
        <v>18</v>
      </c>
      <c r="C224" s="26">
        <f>C4</f>
        <v>338179</v>
      </c>
      <c r="D224" s="2">
        <f>1*DASHBOARD!$D$139</f>
        <v>1</v>
      </c>
      <c r="E224" s="21">
        <v>1</v>
      </c>
      <c r="F224" s="92">
        <f>1-F231</f>
        <v>0.82045770309591837</v>
      </c>
      <c r="G224" s="42" t="s">
        <v>21</v>
      </c>
      <c r="H224" s="3">
        <f>DASHBOARD!D41</f>
        <v>26.004000000000001</v>
      </c>
      <c r="I224" s="11">
        <f>F225*E4/8*((DASHBOARD!D149+((ROUNDUP((C224*F224)/(C11*F225)/50,0))*DASHBOARD!$D$132))/60)*(8/7)</f>
        <v>2.6763752176271285</v>
      </c>
      <c r="J224" s="11">
        <v>1</v>
      </c>
      <c r="K224" s="11">
        <f>F224*I224*J224</f>
        <v>2.1958526636771927</v>
      </c>
      <c r="L224" s="4">
        <f t="shared" ref="L224:L235" si="10">H224*I224*J224</f>
        <v>69.59646115917586</v>
      </c>
      <c r="M224" s="1" t="s">
        <v>156</v>
      </c>
      <c r="N224" s="87" t="s">
        <v>128</v>
      </c>
    </row>
    <row r="225" spans="2:14" ht="18" customHeight="1">
      <c r="B225" s="22" t="s">
        <v>189</v>
      </c>
      <c r="E225" s="21" t="s">
        <v>155</v>
      </c>
      <c r="F225" s="2">
        <v>2</v>
      </c>
      <c r="G225" s="126" t="s">
        <v>22</v>
      </c>
      <c r="H225" s="127">
        <f>DASHBOARD!D64</f>
        <v>7.242172727E-2</v>
      </c>
      <c r="I225" s="128">
        <v>1</v>
      </c>
      <c r="J225" s="129">
        <f>32.8*F225*J224*E4/8</f>
        <v>121.28205591457672</v>
      </c>
      <c r="K225" s="129"/>
      <c r="L225" s="4">
        <f t="shared" si="10"/>
        <v>8.7834559761903659</v>
      </c>
      <c r="M225" s="1" t="s">
        <v>157</v>
      </c>
      <c r="N225" s="87" t="s">
        <v>129</v>
      </c>
    </row>
    <row r="226" spans="2:14" ht="17.100000000000001" customHeight="1">
      <c r="B226" s="22" t="s">
        <v>190</v>
      </c>
      <c r="E226" s="1"/>
      <c r="F226" s="1"/>
      <c r="G226" s="1" t="s">
        <v>158</v>
      </c>
      <c r="H226" s="3">
        <f>DASHBOARD!D65</f>
        <v>42.91</v>
      </c>
      <c r="I226" s="32">
        <f>I224/8</f>
        <v>0.33454690220339106</v>
      </c>
      <c r="J226" s="11">
        <v>1</v>
      </c>
      <c r="K226" s="11"/>
      <c r="L226" s="4">
        <f t="shared" si="10"/>
        <v>14.35540757354751</v>
      </c>
      <c r="M226" s="1" t="s">
        <v>194</v>
      </c>
      <c r="N226" s="87"/>
    </row>
    <row r="227" spans="2:14" ht="17.100000000000001" customHeight="1">
      <c r="B227" s="22" t="s">
        <v>191</v>
      </c>
      <c r="G227" s="1" t="s">
        <v>23</v>
      </c>
      <c r="H227" s="3">
        <f>DASHBOARD!D66</f>
        <v>0.18703</v>
      </c>
      <c r="I227" s="26">
        <v>1</v>
      </c>
      <c r="J227" s="55">
        <v>100</v>
      </c>
      <c r="K227" s="55"/>
      <c r="L227" s="4">
        <f t="shared" si="10"/>
        <v>18.702999999999999</v>
      </c>
      <c r="N227" s="87" t="s">
        <v>132</v>
      </c>
    </row>
    <row r="228" spans="2:14">
      <c r="B228" s="22"/>
      <c r="G228" s="1" t="s">
        <v>24</v>
      </c>
      <c r="H228" s="3">
        <f>DASHBOARD!D67</f>
        <v>1.274775</v>
      </c>
      <c r="I228" s="12">
        <v>1</v>
      </c>
      <c r="J228" s="55">
        <v>2</v>
      </c>
      <c r="K228" s="55"/>
      <c r="L228" s="4">
        <f t="shared" si="10"/>
        <v>2.54955</v>
      </c>
      <c r="M228" s="1" t="s">
        <v>47</v>
      </c>
      <c r="N228" s="88" t="s">
        <v>131</v>
      </c>
    </row>
    <row r="229" spans="2:14" ht="18" customHeight="1">
      <c r="B229" s="22"/>
      <c r="F229" s="134">
        <f>IF(OR(DASHBOARD!$D$111,DASHBOARD!$D$112=1),1,0)</f>
        <v>0</v>
      </c>
      <c r="G229" s="24" t="s">
        <v>418</v>
      </c>
      <c r="H229" s="165">
        <f>DASHBOARD!$D$66</f>
        <v>0.18703</v>
      </c>
      <c r="I229" s="166">
        <v>1</v>
      </c>
      <c r="J229" s="167">
        <v>100</v>
      </c>
      <c r="K229" s="167"/>
      <c r="L229" s="168">
        <f>F229*H229*I229*J229</f>
        <v>0</v>
      </c>
      <c r="N229" s="87" t="s">
        <v>132</v>
      </c>
    </row>
    <row r="230" spans="2:14" ht="18" customHeight="1">
      <c r="B230" s="22"/>
      <c r="F230" s="135" t="s">
        <v>281</v>
      </c>
      <c r="G230" s="24" t="s">
        <v>419</v>
      </c>
      <c r="H230" s="165">
        <f>DASHBOARD!$D$67</f>
        <v>1.274775</v>
      </c>
      <c r="I230" s="169">
        <v>1</v>
      </c>
      <c r="J230" s="167">
        <v>2</v>
      </c>
      <c r="K230" s="167"/>
      <c r="L230" s="168">
        <f>F229*H230*I230*J230</f>
        <v>0</v>
      </c>
      <c r="M230" s="1" t="s">
        <v>47</v>
      </c>
      <c r="N230" s="88" t="s">
        <v>131</v>
      </c>
    </row>
    <row r="231" spans="2:14">
      <c r="B231" s="22"/>
      <c r="E231" s="21">
        <v>2</v>
      </c>
      <c r="F231" s="92">
        <f>1-D23</f>
        <v>0.17954229690408163</v>
      </c>
      <c r="G231" s="42" t="s">
        <v>21</v>
      </c>
      <c r="H231" s="3">
        <f>DASHBOARD!D41</f>
        <v>26.004000000000001</v>
      </c>
      <c r="I231" s="32">
        <f>IF(C13=0,0,C13*F232*((DASHBOARD!D149+((ROUNDUP((D232*D224)/(C13*F232)/50,0))*DASHBOARD!$D$132))/60)*(8/7))</f>
        <v>18952.457142857143</v>
      </c>
      <c r="J231" s="55">
        <f>1/(F232*D232/100)</f>
        <v>6.6666666666666671E-3</v>
      </c>
      <c r="K231" s="55">
        <f>F231*I231*J231</f>
        <v>22.685117916031601</v>
      </c>
      <c r="L231" s="4">
        <f t="shared" si="10"/>
        <v>3285.5979702857148</v>
      </c>
      <c r="M231" s="1" t="s">
        <v>167</v>
      </c>
      <c r="N231" s="87" t="s">
        <v>128</v>
      </c>
    </row>
    <row r="232" spans="2:14" ht="35.1" customHeight="1">
      <c r="B232" s="22"/>
      <c r="C232" s="26"/>
      <c r="D232" s="2">
        <f>DASHBOARD!$D$120</f>
        <v>7500</v>
      </c>
      <c r="E232" s="21" t="s">
        <v>154</v>
      </c>
      <c r="F232" s="2">
        <v>2</v>
      </c>
      <c r="G232" s="1" t="s">
        <v>22</v>
      </c>
      <c r="H232" s="3">
        <f>DASHBOARD!D64</f>
        <v>7.242172727E-2</v>
      </c>
      <c r="I232" s="32">
        <v>1</v>
      </c>
      <c r="J232" s="55">
        <f>C13*32.8*F232*J231</f>
        <v>5880.384</v>
      </c>
      <c r="K232" s="55"/>
      <c r="L232" s="4">
        <f t="shared" si="10"/>
        <v>425.86756629087171</v>
      </c>
      <c r="M232" s="1" t="s">
        <v>168</v>
      </c>
      <c r="N232" s="87" t="s">
        <v>129</v>
      </c>
    </row>
    <row r="233" spans="2:14" ht="30.75" customHeight="1">
      <c r="B233" s="22"/>
      <c r="D233" s="1"/>
      <c r="E233" s="1"/>
      <c r="F233" s="1"/>
      <c r="G233" s="1" t="s">
        <v>158</v>
      </c>
      <c r="H233" s="3">
        <f>DASHBOARD!D65</f>
        <v>42.91</v>
      </c>
      <c r="I233" s="32">
        <f>I231/8</f>
        <v>2369.0571428571429</v>
      </c>
      <c r="J233" s="55">
        <f>1/(D232/100)</f>
        <v>1.3333333333333334E-2</v>
      </c>
      <c r="K233" s="55"/>
      <c r="L233" s="4">
        <f t="shared" si="10"/>
        <v>1355.4165600000001</v>
      </c>
      <c r="M233" s="1" t="s">
        <v>160</v>
      </c>
      <c r="N233" s="87"/>
    </row>
    <row r="234" spans="2:14" ht="30.75" customHeight="1">
      <c r="B234" s="22"/>
      <c r="G234" s="1" t="s">
        <v>23</v>
      </c>
      <c r="H234" s="3">
        <f>DASHBOARD!D66</f>
        <v>0.18703</v>
      </c>
      <c r="I234" s="26">
        <v>1</v>
      </c>
      <c r="J234" s="55">
        <v>100</v>
      </c>
      <c r="K234" s="55"/>
      <c r="L234" s="4">
        <f t="shared" si="10"/>
        <v>18.702999999999999</v>
      </c>
      <c r="N234" s="87" t="s">
        <v>132</v>
      </c>
    </row>
    <row r="235" spans="2:14">
      <c r="B235" s="22"/>
      <c r="G235" s="1" t="s">
        <v>24</v>
      </c>
      <c r="H235" s="3">
        <f>DASHBOARD!D67</f>
        <v>1.274775</v>
      </c>
      <c r="I235" s="12">
        <v>1</v>
      </c>
      <c r="J235" s="11">
        <v>2</v>
      </c>
      <c r="K235" s="11"/>
      <c r="L235" s="4">
        <f t="shared" si="10"/>
        <v>2.54955</v>
      </c>
      <c r="M235" s="1" t="s">
        <v>47</v>
      </c>
      <c r="N235" s="88" t="s">
        <v>131</v>
      </c>
    </row>
    <row r="236" spans="2:14" ht="18" customHeight="1">
      <c r="B236" s="22"/>
      <c r="F236" s="134">
        <f>IF(OR(DASHBOARD!$D$111,DASHBOARD!$D$112=1),1,0)</f>
        <v>0</v>
      </c>
      <c r="G236" s="24" t="s">
        <v>418</v>
      </c>
      <c r="H236" s="165">
        <f>DASHBOARD!$D$66</f>
        <v>0.18703</v>
      </c>
      <c r="I236" s="166">
        <v>1</v>
      </c>
      <c r="J236" s="167">
        <v>100</v>
      </c>
      <c r="K236" s="167"/>
      <c r="L236" s="168">
        <f>F236*H236*I236*J236</f>
        <v>0</v>
      </c>
      <c r="N236" s="87" t="s">
        <v>132</v>
      </c>
    </row>
    <row r="237" spans="2:14" ht="18" customHeight="1">
      <c r="B237" s="22"/>
      <c r="F237" s="135" t="s">
        <v>281</v>
      </c>
      <c r="G237" s="24" t="s">
        <v>419</v>
      </c>
      <c r="H237" s="165">
        <f>DASHBOARD!$D$67</f>
        <v>1.274775</v>
      </c>
      <c r="I237" s="169">
        <v>1</v>
      </c>
      <c r="J237" s="167">
        <v>2</v>
      </c>
      <c r="K237" s="167"/>
      <c r="L237" s="168">
        <f>F236*H237*I237*J237</f>
        <v>0</v>
      </c>
      <c r="M237" s="1" t="s">
        <v>47</v>
      </c>
      <c r="N237" s="88" t="s">
        <v>131</v>
      </c>
    </row>
    <row r="238" spans="2:14" ht="21" customHeight="1" thickBot="1">
      <c r="B238" s="9" t="s">
        <v>7</v>
      </c>
      <c r="C238" s="10"/>
      <c r="D238" s="14"/>
      <c r="E238" s="20"/>
      <c r="F238" s="14"/>
      <c r="G238" s="10"/>
      <c r="H238" s="549" t="s">
        <v>81</v>
      </c>
      <c r="I238" s="549"/>
      <c r="J238" s="549"/>
      <c r="K238" s="243"/>
      <c r="L238" s="70">
        <f>D224*(SUM(L224:L230)*F224+SUM(L231:L237)*F231)</f>
        <v>1007.0576112680586</v>
      </c>
      <c r="M238" s="69" t="str">
        <f>"Per Person Cost is "&amp;ROUND(L238/100,2)&amp;" and the cost per "&amp;$C$4&amp;" people is "&amp;ROUND(L238/100*$C$4,2)</f>
        <v>Per Person Cost is 10.07 and the cost per 338179 people is 3405657.36</v>
      </c>
    </row>
    <row r="239" spans="2:14" ht="52.5" customHeight="1">
      <c r="B239" s="23" t="s">
        <v>25</v>
      </c>
      <c r="C239" s="26">
        <f>C4</f>
        <v>338179</v>
      </c>
      <c r="D239" s="134">
        <f>(1-DASHBOARD!$D$135)*DASHBOARD!$D$139</f>
        <v>1</v>
      </c>
      <c r="E239" s="21" t="s">
        <v>337</v>
      </c>
      <c r="F239" s="2">
        <f>1-F253</f>
        <v>0.99948999999999999</v>
      </c>
      <c r="G239" s="42" t="s">
        <v>14</v>
      </c>
      <c r="H239" s="3">
        <f>DASHBOARD!$D$35</f>
        <v>24.612000000000002</v>
      </c>
      <c r="I239" s="11">
        <f>DASHBOARD!$D$150*(100/60)*(8/7)</f>
        <v>7.6190476190476186</v>
      </c>
      <c r="J239" s="11">
        <v>1</v>
      </c>
      <c r="K239" s="53">
        <f>D239*F239*I239*J239</f>
        <v>7.6151619047619041</v>
      </c>
      <c r="L239" s="4">
        <f>H239*I239*J239</f>
        <v>187.52</v>
      </c>
      <c r="M239" s="1" t="s">
        <v>50</v>
      </c>
      <c r="N239" s="87" t="s">
        <v>133</v>
      </c>
    </row>
    <row r="240" spans="2:14" ht="39" customHeight="1">
      <c r="B240" s="23" t="s">
        <v>348</v>
      </c>
      <c r="D240" s="135" t="s">
        <v>329</v>
      </c>
      <c r="E240" s="136"/>
      <c r="F240" s="133" t="s">
        <v>332</v>
      </c>
      <c r="G240" s="42" t="s">
        <v>31</v>
      </c>
      <c r="H240" s="3">
        <f>DASHBOARD!$D$44</f>
        <v>48</v>
      </c>
      <c r="I240" s="11">
        <f>SUM(I244:I246)*(1/100)</f>
        <v>0.11955420466058762</v>
      </c>
      <c r="J240" s="11">
        <v>1</v>
      </c>
      <c r="K240" s="53">
        <f>D239*F239*I240*J240</f>
        <v>0.11949323201621072</v>
      </c>
      <c r="L240" s="4">
        <f t="shared" ref="L240:L266" si="11">H240*I240*J240</f>
        <v>5.7386018237082057</v>
      </c>
      <c r="M240" s="1" t="s">
        <v>136</v>
      </c>
      <c r="N240" s="87" t="s">
        <v>115</v>
      </c>
    </row>
    <row r="241" spans="2:14">
      <c r="B241" s="23" t="s">
        <v>349</v>
      </c>
      <c r="D241" s="134"/>
      <c r="E241" s="136"/>
      <c r="G241" s="42" t="s">
        <v>32</v>
      </c>
      <c r="H241" s="3">
        <f>DASHBOARD!$D$49</f>
        <v>58.847999999999999</v>
      </c>
      <c r="I241" s="11">
        <f>SUM(I244:I246)*(1/10)</f>
        <v>1.1955420466058762</v>
      </c>
      <c r="J241" s="11">
        <v>1</v>
      </c>
      <c r="K241" s="53">
        <f>D239*F239*I241*J241</f>
        <v>1.1949323201621072</v>
      </c>
      <c r="L241" s="4">
        <f t="shared" si="11"/>
        <v>70.355258358662596</v>
      </c>
      <c r="M241" s="1" t="s">
        <v>137</v>
      </c>
      <c r="N241" s="87" t="s">
        <v>134</v>
      </c>
    </row>
    <row r="242" spans="2:14">
      <c r="B242" s="23" t="s">
        <v>350</v>
      </c>
      <c r="D242" s="134"/>
      <c r="E242" s="136"/>
      <c r="G242" s="42" t="s">
        <v>33</v>
      </c>
      <c r="H242" s="3">
        <f>DASHBOARD!$D$50</f>
        <v>39</v>
      </c>
      <c r="I242" s="11">
        <f>SUM(I244:I246)*(1/33)</f>
        <v>0.36228546866844735</v>
      </c>
      <c r="J242" s="11">
        <v>1</v>
      </c>
      <c r="K242" s="53">
        <f>D239*F239*I242*J242</f>
        <v>0.36210070307942643</v>
      </c>
      <c r="L242" s="4">
        <f t="shared" si="11"/>
        <v>14.129133278069446</v>
      </c>
      <c r="M242" s="1" t="s">
        <v>138</v>
      </c>
      <c r="N242" s="87" t="s">
        <v>115</v>
      </c>
    </row>
    <row r="243" spans="2:14">
      <c r="B243" s="23"/>
      <c r="D243" s="134"/>
      <c r="E243" s="136"/>
      <c r="G243" s="42" t="s">
        <v>34</v>
      </c>
      <c r="H243" s="3">
        <f>DASHBOARD!$D$51</f>
        <v>43.199999999999996</v>
      </c>
      <c r="I243" s="11">
        <f>SUM(I244:I246)*(1/100)</f>
        <v>0.11955420466058762</v>
      </c>
      <c r="J243" s="11">
        <v>1</v>
      </c>
      <c r="K243" s="53">
        <f>D239*F239*I243*J243</f>
        <v>0.11949323201621072</v>
      </c>
      <c r="L243" s="4">
        <f t="shared" si="11"/>
        <v>5.1647416413373852</v>
      </c>
      <c r="M243" s="1" t="s">
        <v>136</v>
      </c>
      <c r="N243" s="87" t="s">
        <v>135</v>
      </c>
    </row>
    <row r="244" spans="2:14">
      <c r="B244" s="23"/>
      <c r="D244" s="134"/>
      <c r="E244" s="136"/>
      <c r="F244" s="2" t="s">
        <v>451</v>
      </c>
      <c r="G244" s="42" t="s">
        <v>27</v>
      </c>
      <c r="H244" s="3">
        <f>DASHBOARD!$D$39</f>
        <v>30</v>
      </c>
      <c r="I244" s="52">
        <f>(DASHBOARD!$D$151*100/60)*(8/7)</f>
        <v>5.7142857142857135</v>
      </c>
      <c r="J244" s="11">
        <v>1</v>
      </c>
      <c r="K244" s="53">
        <f>D239*F239*I244*J244</f>
        <v>5.7113714285714279</v>
      </c>
      <c r="L244" s="4">
        <f t="shared" si="11"/>
        <v>171.42857142857142</v>
      </c>
      <c r="M244" s="1" t="s">
        <v>48</v>
      </c>
      <c r="N244" s="87" t="s">
        <v>115</v>
      </c>
    </row>
    <row r="245" spans="2:14" ht="15" customHeight="1">
      <c r="B245" s="23"/>
      <c r="D245" s="134"/>
      <c r="E245" s="136"/>
      <c r="F245" s="2" t="s">
        <v>452</v>
      </c>
      <c r="G245" s="42" t="s">
        <v>27</v>
      </c>
      <c r="H245" s="3">
        <f>DASHBOARD!$D$39</f>
        <v>30</v>
      </c>
      <c r="I245" s="52">
        <f>(DASHBOARD!$D$152*100/60)*(8/7)</f>
        <v>2.43161094224924</v>
      </c>
      <c r="J245" s="11">
        <v>1</v>
      </c>
      <c r="K245" s="53">
        <f>D239*F239*I245*J245</f>
        <v>2.4303708206686929</v>
      </c>
      <c r="L245" s="4">
        <f t="shared" si="11"/>
        <v>72.948328267477194</v>
      </c>
      <c r="M245" s="1" t="s">
        <v>49</v>
      </c>
      <c r="N245" s="87" t="s">
        <v>115</v>
      </c>
    </row>
    <row r="246" spans="2:14">
      <c r="B246" s="23"/>
      <c r="D246" s="134"/>
      <c r="E246" s="136"/>
      <c r="F246" s="2" t="s">
        <v>453</v>
      </c>
      <c r="G246" s="42" t="s">
        <v>27</v>
      </c>
      <c r="H246" s="3">
        <f>DASHBOARD!$D$39</f>
        <v>30</v>
      </c>
      <c r="I246" s="11">
        <f>(DASHBOARD!$D$154*100)/60*(8/7)</f>
        <v>3.8095238095238093</v>
      </c>
      <c r="J246" s="11">
        <v>1</v>
      </c>
      <c r="K246" s="53">
        <f>D239*F239*I246*J246</f>
        <v>3.8075809523809521</v>
      </c>
      <c r="L246" s="4">
        <f t="shared" si="11"/>
        <v>114.28571428571428</v>
      </c>
      <c r="M246" s="27" t="s">
        <v>77</v>
      </c>
      <c r="N246" s="87" t="s">
        <v>115</v>
      </c>
    </row>
    <row r="247" spans="2:14">
      <c r="B247" s="23"/>
      <c r="D247" s="134"/>
      <c r="E247" s="136"/>
      <c r="G247" s="1" t="s">
        <v>41</v>
      </c>
      <c r="H247" s="3">
        <f>DASHBOARD!$D$57</f>
        <v>3.95</v>
      </c>
      <c r="I247" s="11">
        <v>1</v>
      </c>
      <c r="J247" s="55">
        <f>2*SUM(I244:I246)/8</f>
        <v>2.9888551165146904</v>
      </c>
      <c r="K247" s="53"/>
      <c r="L247" s="4">
        <f t="shared" si="11"/>
        <v>11.805977710233028</v>
      </c>
      <c r="M247" s="1" t="s">
        <v>139</v>
      </c>
      <c r="N247" s="87" t="s">
        <v>117</v>
      </c>
    </row>
    <row r="248" spans="2:14">
      <c r="B248" s="23"/>
      <c r="D248" s="134"/>
      <c r="E248" s="136"/>
      <c r="G248" s="1" t="s">
        <v>9</v>
      </c>
      <c r="H248" s="3">
        <f>DASHBOARD!$D$58</f>
        <v>13.95</v>
      </c>
      <c r="I248" s="11">
        <v>1</v>
      </c>
      <c r="J248" s="55">
        <f>2*SUM(I244:I246)/8</f>
        <v>2.9888551165146904</v>
      </c>
      <c r="K248" s="53"/>
      <c r="L248" s="4">
        <f t="shared" si="11"/>
        <v>41.69452887537993</v>
      </c>
      <c r="M248" s="1" t="s">
        <v>139</v>
      </c>
      <c r="N248" s="87" t="s">
        <v>118</v>
      </c>
    </row>
    <row r="249" spans="2:14">
      <c r="B249" s="23"/>
      <c r="D249" s="134"/>
      <c r="E249" s="136"/>
      <c r="G249" s="1" t="s">
        <v>16</v>
      </c>
      <c r="H249" s="3">
        <f>DASHBOARD!$D$59</f>
        <v>0.23960000000000001</v>
      </c>
      <c r="I249" s="11">
        <v>1</v>
      </c>
      <c r="J249" s="55">
        <f>ROUNDUP(I239/8,0)+(ROUNDUP(I244/8,0)+ROUNDUP(I245/8,0)+ROUNDUP(I246/8,0))*(100/DASHBOARD!$D$121)</f>
        <v>7.3829787234042552</v>
      </c>
      <c r="K249" s="53"/>
      <c r="L249" s="4">
        <f t="shared" si="11"/>
        <v>1.7689617021276596</v>
      </c>
      <c r="M249" s="1" t="s">
        <v>140</v>
      </c>
      <c r="N249" s="87" t="s">
        <v>119</v>
      </c>
    </row>
    <row r="250" spans="2:14">
      <c r="B250" s="23"/>
      <c r="D250" s="134"/>
      <c r="E250" s="136"/>
      <c r="G250" s="1" t="s">
        <v>10</v>
      </c>
      <c r="H250" s="3">
        <f>DASHBOARD!$D$60</f>
        <v>1.7004999999999999</v>
      </c>
      <c r="I250" s="11">
        <v>1</v>
      </c>
      <c r="J250" s="55">
        <f>2*SUM(I244:I246)/8</f>
        <v>2.9888551165146904</v>
      </c>
      <c r="K250" s="53"/>
      <c r="L250" s="4">
        <f t="shared" si="11"/>
        <v>5.082548125633231</v>
      </c>
      <c r="M250" s="1" t="s">
        <v>139</v>
      </c>
      <c r="N250" s="87" t="s">
        <v>119</v>
      </c>
    </row>
    <row r="251" spans="2:14">
      <c r="B251" s="23"/>
      <c r="D251" s="134"/>
      <c r="E251" s="136"/>
      <c r="G251" s="1" t="s">
        <v>28</v>
      </c>
      <c r="H251" s="3">
        <f>DASHBOARD!$D$75</f>
        <v>12.16</v>
      </c>
      <c r="I251" s="11">
        <v>1</v>
      </c>
      <c r="J251" s="11">
        <v>100</v>
      </c>
      <c r="K251" s="53"/>
      <c r="L251" s="4">
        <f t="shared" si="11"/>
        <v>1216</v>
      </c>
      <c r="N251" s="87" t="s">
        <v>141</v>
      </c>
    </row>
    <row r="252" spans="2:14">
      <c r="B252" s="23"/>
      <c r="D252" s="134"/>
      <c r="E252" s="136"/>
      <c r="G252" s="1" t="s">
        <v>29</v>
      </c>
      <c r="H252" s="3">
        <f>DASHBOARD!$D$76</f>
        <v>0.72</v>
      </c>
      <c r="I252" s="11">
        <v>1</v>
      </c>
      <c r="J252" s="11">
        <v>100</v>
      </c>
      <c r="K252" s="53"/>
      <c r="L252" s="4">
        <f t="shared" si="11"/>
        <v>72</v>
      </c>
      <c r="N252" s="87" t="s">
        <v>142</v>
      </c>
    </row>
    <row r="253" spans="2:14">
      <c r="B253" s="23"/>
      <c r="D253" s="134"/>
      <c r="E253" s="136"/>
      <c r="F253" s="2">
        <f>DASHBOARD!$D$102</f>
        <v>5.1000000000000004E-4</v>
      </c>
      <c r="G253" s="42" t="s">
        <v>14</v>
      </c>
      <c r="H253" s="3">
        <f>DASHBOARD!$D$35</f>
        <v>24.612000000000002</v>
      </c>
      <c r="I253" s="11">
        <f>DASHBOARD!$D$150*(100/60)*(8/7)</f>
        <v>7.6190476190476186</v>
      </c>
      <c r="J253" s="11">
        <v>1</v>
      </c>
      <c r="K253" s="53">
        <f>D239*F253*I253*J253</f>
        <v>3.8857142857142857E-3</v>
      </c>
      <c r="L253" s="4">
        <f>H253*I253*J253</f>
        <v>187.52</v>
      </c>
      <c r="M253" s="1" t="s">
        <v>50</v>
      </c>
      <c r="N253" s="87" t="s">
        <v>133</v>
      </c>
    </row>
    <row r="254" spans="2:14">
      <c r="B254" s="23"/>
      <c r="D254" s="134"/>
      <c r="E254" s="136"/>
      <c r="F254" s="133" t="s">
        <v>331</v>
      </c>
      <c r="G254" s="42" t="s">
        <v>31</v>
      </c>
      <c r="H254" s="3">
        <f>DASHBOARD!$D$44</f>
        <v>48</v>
      </c>
      <c r="I254" s="11">
        <f>SUM(I258:I260)*(1/100)</f>
        <v>0.17669706180344477</v>
      </c>
      <c r="J254" s="11">
        <v>1</v>
      </c>
      <c r="K254" s="53">
        <f>D239*F253*I254*J254</f>
        <v>9.0115501519756836E-5</v>
      </c>
      <c r="L254" s="4">
        <f t="shared" ref="L254:L265" si="12">H254*I254*J254</f>
        <v>8.4814589665653486</v>
      </c>
      <c r="M254" s="1" t="s">
        <v>136</v>
      </c>
      <c r="N254" s="87" t="s">
        <v>115</v>
      </c>
    </row>
    <row r="255" spans="2:14">
      <c r="B255" s="23"/>
      <c r="D255" s="134"/>
      <c r="E255" s="136"/>
      <c r="G255" s="42" t="s">
        <v>32</v>
      </c>
      <c r="H255" s="3">
        <f>DASHBOARD!$D$49</f>
        <v>58.847999999999999</v>
      </c>
      <c r="I255" s="11">
        <f>SUM(I258:I260)*(1/10)</f>
        <v>1.7669706180344478</v>
      </c>
      <c r="J255" s="11">
        <v>1</v>
      </c>
      <c r="K255" s="53">
        <f>D239*F253*I255*J255</f>
        <v>9.0115501519756841E-4</v>
      </c>
      <c r="L255" s="4">
        <f t="shared" si="12"/>
        <v>103.98268693009118</v>
      </c>
      <c r="M255" s="1" t="s">
        <v>137</v>
      </c>
      <c r="N255" s="87" t="s">
        <v>134</v>
      </c>
    </row>
    <row r="256" spans="2:14">
      <c r="B256" s="23"/>
      <c r="D256" s="134"/>
      <c r="E256" s="136"/>
      <c r="G256" s="42" t="s">
        <v>33</v>
      </c>
      <c r="H256" s="3">
        <f>DASHBOARD!$D$50</f>
        <v>39</v>
      </c>
      <c r="I256" s="11">
        <f>SUM(I258:I260)*(1/33)</f>
        <v>0.53544564182862053</v>
      </c>
      <c r="J256" s="11">
        <v>1</v>
      </c>
      <c r="K256" s="53">
        <f>D239*F253*I256*J256</f>
        <v>2.7307727733259649E-4</v>
      </c>
      <c r="L256" s="4">
        <f t="shared" si="12"/>
        <v>20.882380031316202</v>
      </c>
      <c r="M256" s="1" t="s">
        <v>138</v>
      </c>
      <c r="N256" s="87" t="s">
        <v>115</v>
      </c>
    </row>
    <row r="257" spans="2:14">
      <c r="B257" s="23"/>
      <c r="D257" s="134"/>
      <c r="E257" s="136"/>
      <c r="G257" s="42" t="s">
        <v>34</v>
      </c>
      <c r="H257" s="3">
        <f>DASHBOARD!$D$51</f>
        <v>43.199999999999996</v>
      </c>
      <c r="I257" s="11">
        <f>SUM(I258:I260)*(1/100)</f>
        <v>0.17669706180344477</v>
      </c>
      <c r="J257" s="11">
        <v>1</v>
      </c>
      <c r="K257" s="53">
        <f>D239*F253*I257*J257</f>
        <v>9.0115501519756836E-5</v>
      </c>
      <c r="L257" s="4">
        <f t="shared" si="12"/>
        <v>7.6333130699088132</v>
      </c>
      <c r="M257" s="1" t="s">
        <v>136</v>
      </c>
      <c r="N257" s="87" t="s">
        <v>135</v>
      </c>
    </row>
    <row r="258" spans="2:14">
      <c r="B258" s="23"/>
      <c r="D258" s="134"/>
      <c r="E258" s="136"/>
      <c r="F258" s="2" t="s">
        <v>451</v>
      </c>
      <c r="G258" s="42" t="s">
        <v>27</v>
      </c>
      <c r="H258" s="3">
        <f>DASHBOARD!$D$39</f>
        <v>30</v>
      </c>
      <c r="I258" s="52">
        <f>(DASHBOARD!$D$151*100/60)*(8/7)</f>
        <v>5.7142857142857135</v>
      </c>
      <c r="J258" s="11">
        <v>1</v>
      </c>
      <c r="K258" s="53">
        <f>D239*F253*I258*J258</f>
        <v>2.9142857142857143E-3</v>
      </c>
      <c r="L258" s="4">
        <f t="shared" si="12"/>
        <v>171.42857142857142</v>
      </c>
      <c r="M258" s="1" t="s">
        <v>48</v>
      </c>
      <c r="N258" s="87" t="s">
        <v>115</v>
      </c>
    </row>
    <row r="259" spans="2:14">
      <c r="B259" s="23"/>
      <c r="D259" s="134"/>
      <c r="E259" s="136"/>
      <c r="F259" s="2" t="s">
        <v>452</v>
      </c>
      <c r="G259" s="42" t="s">
        <v>27</v>
      </c>
      <c r="H259" s="3">
        <f>DASHBOARD!$D$39</f>
        <v>30</v>
      </c>
      <c r="I259" s="52">
        <f>(DASHBOARD!$D$152*100/60)*(8/7)</f>
        <v>2.43161094224924</v>
      </c>
      <c r="J259" s="11">
        <v>1</v>
      </c>
      <c r="K259" s="53">
        <f>D239*F253*I259*J259</f>
        <v>1.2401215805471124E-3</v>
      </c>
      <c r="L259" s="4">
        <f t="shared" si="12"/>
        <v>72.948328267477194</v>
      </c>
      <c r="M259" s="1" t="s">
        <v>49</v>
      </c>
      <c r="N259" s="87" t="s">
        <v>115</v>
      </c>
    </row>
    <row r="260" spans="2:14">
      <c r="B260" s="23"/>
      <c r="D260" s="134"/>
      <c r="E260" s="136"/>
      <c r="F260" s="2" t="s">
        <v>453</v>
      </c>
      <c r="G260" s="42" t="s">
        <v>27</v>
      </c>
      <c r="H260" s="3">
        <f>DASHBOARD!$D$39</f>
        <v>30</v>
      </c>
      <c r="I260" s="11">
        <f>(DASHBOARD!$D$153*100)/60*(8/7)</f>
        <v>9.5238095238095237</v>
      </c>
      <c r="J260" s="11">
        <v>1</v>
      </c>
      <c r="K260" s="53">
        <f>D239*F253*I260*J260</f>
        <v>4.8571428571428576E-3</v>
      </c>
      <c r="L260" s="4">
        <f t="shared" si="12"/>
        <v>285.71428571428572</v>
      </c>
      <c r="M260" s="27" t="s">
        <v>171</v>
      </c>
      <c r="N260" s="87" t="s">
        <v>115</v>
      </c>
    </row>
    <row r="261" spans="2:14">
      <c r="B261" s="23"/>
      <c r="D261" s="134"/>
      <c r="E261" s="136"/>
      <c r="G261" s="1" t="s">
        <v>41</v>
      </c>
      <c r="H261" s="3">
        <f>DASHBOARD!$D$57</f>
        <v>3.95</v>
      </c>
      <c r="I261" s="11">
        <v>1</v>
      </c>
      <c r="J261" s="55">
        <f>2*SUM(I258:I260)/8</f>
        <v>4.4174265450861192</v>
      </c>
      <c r="K261" s="53"/>
      <c r="L261" s="4">
        <f t="shared" si="12"/>
        <v>17.448834853090172</v>
      </c>
      <c r="M261" s="1" t="s">
        <v>139</v>
      </c>
      <c r="N261" s="87" t="s">
        <v>117</v>
      </c>
    </row>
    <row r="262" spans="2:14">
      <c r="B262" s="23"/>
      <c r="D262" s="134"/>
      <c r="E262" s="136"/>
      <c r="G262" s="1" t="s">
        <v>9</v>
      </c>
      <c r="H262" s="3">
        <f>DASHBOARD!$D$58</f>
        <v>13.95</v>
      </c>
      <c r="I262" s="11">
        <v>1</v>
      </c>
      <c r="J262" s="55">
        <f>2*SUM(I258:I260)/8</f>
        <v>4.4174265450861192</v>
      </c>
      <c r="K262" s="53"/>
      <c r="L262" s="4">
        <f t="shared" si="12"/>
        <v>61.623100303951361</v>
      </c>
      <c r="M262" s="1" t="s">
        <v>139</v>
      </c>
      <c r="N262" s="87" t="s">
        <v>118</v>
      </c>
    </row>
    <row r="263" spans="2:14">
      <c r="B263" s="23"/>
      <c r="D263" s="134"/>
      <c r="E263" s="136"/>
      <c r="G263" s="1" t="s">
        <v>16</v>
      </c>
      <c r="H263" s="3">
        <f>DASHBOARD!$D$59</f>
        <v>0.23960000000000001</v>
      </c>
      <c r="I263" s="11">
        <v>1</v>
      </c>
      <c r="J263" s="55">
        <f>ROUNDUP(I253/8,0)+(ROUNDUP(I258/8,0)+ROUNDUP(I259/8,0)+ROUNDUP(I260/8,0))*(100/DASHBOARD!$D$121)</f>
        <v>9.5106382978723403</v>
      </c>
      <c r="K263" s="53"/>
      <c r="L263" s="4">
        <f t="shared" si="12"/>
        <v>2.2787489361702127</v>
      </c>
      <c r="M263" s="1" t="s">
        <v>140</v>
      </c>
      <c r="N263" s="87" t="s">
        <v>119</v>
      </c>
    </row>
    <row r="264" spans="2:14">
      <c r="B264" s="23"/>
      <c r="D264" s="134"/>
      <c r="E264" s="136"/>
      <c r="G264" s="1" t="s">
        <v>10</v>
      </c>
      <c r="H264" s="3">
        <f>DASHBOARD!$D$60</f>
        <v>1.7004999999999999</v>
      </c>
      <c r="I264" s="11">
        <v>1</v>
      </c>
      <c r="J264" s="55">
        <f>2*SUM(I258:I260)/8</f>
        <v>4.4174265450861192</v>
      </c>
      <c r="K264" s="53"/>
      <c r="L264" s="4">
        <f t="shared" si="12"/>
        <v>7.5118338399189453</v>
      </c>
      <c r="M264" s="1" t="s">
        <v>139</v>
      </c>
      <c r="N264" s="87" t="s">
        <v>119</v>
      </c>
    </row>
    <row r="265" spans="2:14">
      <c r="B265" s="23"/>
      <c r="D265" s="134"/>
      <c r="E265" s="136"/>
      <c r="G265" s="1" t="s">
        <v>28</v>
      </c>
      <c r="H265" s="3">
        <f>DASHBOARD!$D$75</f>
        <v>12.16</v>
      </c>
      <c r="I265" s="11">
        <v>1</v>
      </c>
      <c r="J265" s="11">
        <v>100</v>
      </c>
      <c r="K265" s="53"/>
      <c r="L265" s="4">
        <f t="shared" si="12"/>
        <v>1216</v>
      </c>
      <c r="N265" s="87" t="s">
        <v>141</v>
      </c>
    </row>
    <row r="266" spans="2:14" ht="16.350000000000001" customHeight="1">
      <c r="B266" s="23"/>
      <c r="D266" s="134"/>
      <c r="E266" s="136"/>
      <c r="G266" s="1" t="s">
        <v>29</v>
      </c>
      <c r="H266" s="3">
        <f>DASHBOARD!$D$76</f>
        <v>0.72</v>
      </c>
      <c r="I266" s="11">
        <v>1</v>
      </c>
      <c r="J266" s="11">
        <v>100</v>
      </c>
      <c r="K266" s="53"/>
      <c r="L266" s="4">
        <f t="shared" si="11"/>
        <v>72</v>
      </c>
      <c r="N266" s="87" t="s">
        <v>142</v>
      </c>
    </row>
    <row r="267" spans="2:14" ht="42.75" customHeight="1">
      <c r="B267" s="23"/>
      <c r="C267" s="26">
        <f>C4</f>
        <v>338179</v>
      </c>
      <c r="D267" s="140">
        <f>IF(DASHBOARD!$D$139=1,(1-D239),0)</f>
        <v>0</v>
      </c>
      <c r="E267" s="21" t="s">
        <v>338</v>
      </c>
      <c r="F267" s="139">
        <f>1-F281</f>
        <v>0.99796156006946357</v>
      </c>
      <c r="G267" s="42" t="s">
        <v>14</v>
      </c>
      <c r="H267" s="3">
        <f>DASHBOARD!$D$35</f>
        <v>24.612000000000002</v>
      </c>
      <c r="I267" s="11">
        <f>DASHBOARD!$D$150*(100/60)*(8/7)</f>
        <v>7.6190476190476186</v>
      </c>
      <c r="J267" s="11">
        <v>1</v>
      </c>
      <c r="K267" s="11">
        <f>D267*F267*I267*J267</f>
        <v>0</v>
      </c>
      <c r="L267" s="4">
        <f>H267*I267*J267/DASHBOARD!$D$136</f>
        <v>46.88</v>
      </c>
      <c r="M267" s="1" t="s">
        <v>50</v>
      </c>
      <c r="N267" s="87" t="s">
        <v>133</v>
      </c>
    </row>
    <row r="268" spans="2:14">
      <c r="B268" s="23"/>
      <c r="D268" s="141" t="s">
        <v>330</v>
      </c>
      <c r="E268" s="21" t="s">
        <v>333</v>
      </c>
      <c r="F268" s="133" t="s">
        <v>332</v>
      </c>
      <c r="G268" s="42" t="s">
        <v>31</v>
      </c>
      <c r="H268" s="3">
        <f>DASHBOARD!$D$44</f>
        <v>48</v>
      </c>
      <c r="I268" s="11">
        <f>SUM(I272:I274)*(1/100)</f>
        <v>0.13860182370820667</v>
      </c>
      <c r="J268" s="11">
        <v>1</v>
      </c>
      <c r="K268" s="11">
        <f>D267*F267*I268*J268</f>
        <v>0</v>
      </c>
      <c r="L268" s="4">
        <f>H268*I268*J268/DASHBOARD!$D$136</f>
        <v>1.6632218844984801</v>
      </c>
      <c r="M268" s="1" t="s">
        <v>136</v>
      </c>
      <c r="N268" s="87" t="s">
        <v>115</v>
      </c>
    </row>
    <row r="269" spans="2:14">
      <c r="B269" s="23"/>
      <c r="D269" s="140"/>
      <c r="E269" s="137" t="s">
        <v>339</v>
      </c>
      <c r="G269" s="42" t="s">
        <v>32</v>
      </c>
      <c r="H269" s="3">
        <f>DASHBOARD!$D$49</f>
        <v>58.847999999999999</v>
      </c>
      <c r="I269" s="11">
        <f>SUM(I272:I274)*(1/10)</f>
        <v>1.3860182370820668</v>
      </c>
      <c r="J269" s="11">
        <v>1</v>
      </c>
      <c r="K269" s="11">
        <f>D267*F267*I269*J269</f>
        <v>0</v>
      </c>
      <c r="L269" s="4">
        <f>H269*I269*J269/DASHBOARD!$D$136</f>
        <v>20.391100303951369</v>
      </c>
      <c r="M269" s="1" t="s">
        <v>137</v>
      </c>
      <c r="N269" s="87" t="s">
        <v>134</v>
      </c>
    </row>
    <row r="270" spans="2:14">
      <c r="B270" s="23"/>
      <c r="D270" s="140"/>
      <c r="E270" s="137" t="s">
        <v>340</v>
      </c>
      <c r="G270" s="42" t="s">
        <v>33</v>
      </c>
      <c r="H270" s="3">
        <f>DASHBOARD!$D$50</f>
        <v>39</v>
      </c>
      <c r="I270" s="11">
        <f>SUM(I272:I274)*(1/33)</f>
        <v>0.42000552638850508</v>
      </c>
      <c r="J270" s="11">
        <v>1</v>
      </c>
      <c r="K270" s="11">
        <f>D267*F267*I270*J270</f>
        <v>0</v>
      </c>
      <c r="L270" s="4">
        <f>H270*I270*J270/DASHBOARD!$D$136</f>
        <v>4.0950538822879246</v>
      </c>
      <c r="M270" s="1" t="s">
        <v>138</v>
      </c>
      <c r="N270" s="87" t="s">
        <v>115</v>
      </c>
    </row>
    <row r="271" spans="2:14">
      <c r="B271" s="23"/>
      <c r="D271" s="140"/>
      <c r="E271" s="137" t="s">
        <v>335</v>
      </c>
      <c r="G271" s="42" t="s">
        <v>34</v>
      </c>
      <c r="H271" s="3">
        <f>DASHBOARD!$D$51</f>
        <v>43.199999999999996</v>
      </c>
      <c r="I271" s="11">
        <f>SUM(I272:I274)*(1/100)</f>
        <v>0.13860182370820667</v>
      </c>
      <c r="J271" s="11">
        <v>1</v>
      </c>
      <c r="K271" s="11">
        <f>D267*F267*I271*J271</f>
        <v>0</v>
      </c>
      <c r="L271" s="4">
        <f>H271*I271*J271/DASHBOARD!$D$136</f>
        <v>1.4968996960486318</v>
      </c>
      <c r="M271" s="1" t="s">
        <v>136</v>
      </c>
      <c r="N271" s="87" t="s">
        <v>135</v>
      </c>
    </row>
    <row r="272" spans="2:14">
      <c r="B272" s="23"/>
      <c r="D272" s="140"/>
      <c r="E272" s="138" t="s">
        <v>341</v>
      </c>
      <c r="F272" s="2" t="s">
        <v>451</v>
      </c>
      <c r="G272" s="42" t="s">
        <v>27</v>
      </c>
      <c r="H272" s="3">
        <f>DASHBOARD!$D$39</f>
        <v>30</v>
      </c>
      <c r="I272" s="52">
        <f>((DASHBOARD!$D$151+1)*100/60)*(8/7)</f>
        <v>7.6190476190476186</v>
      </c>
      <c r="J272" s="11">
        <v>1</v>
      </c>
      <c r="K272" s="11">
        <f>D267*F267*I272*J272</f>
        <v>0</v>
      </c>
      <c r="L272" s="4">
        <f>H272*I272*J272/DASHBOARD!$D$136</f>
        <v>57.142857142857139</v>
      </c>
      <c r="M272" s="1" t="s">
        <v>342</v>
      </c>
      <c r="N272" s="87" t="s">
        <v>115</v>
      </c>
    </row>
    <row r="273" spans="2:14" ht="15" customHeight="1">
      <c r="B273" s="23"/>
      <c r="D273" s="140"/>
      <c r="E273" s="143">
        <v>1</v>
      </c>
      <c r="F273" s="2" t="s">
        <v>452</v>
      </c>
      <c r="G273" s="42" t="s">
        <v>27</v>
      </c>
      <c r="H273" s="3">
        <f>DASHBOARD!$D$39</f>
        <v>30</v>
      </c>
      <c r="I273" s="52">
        <f>(DASHBOARD!$D$152*100/60)*(8/7)</f>
        <v>2.43161094224924</v>
      </c>
      <c r="J273" s="11">
        <v>1</v>
      </c>
      <c r="K273" s="11">
        <f>D267*F267*I273*J273</f>
        <v>0</v>
      </c>
      <c r="L273" s="4">
        <f>H273*I273*J273/DASHBOARD!$D$136</f>
        <v>18.237082066869299</v>
      </c>
      <c r="M273" s="1" t="s">
        <v>49</v>
      </c>
      <c r="N273" s="87" t="s">
        <v>115</v>
      </c>
    </row>
    <row r="274" spans="2:14">
      <c r="B274" s="23"/>
      <c r="D274" s="140"/>
      <c r="F274" s="2" t="s">
        <v>453</v>
      </c>
      <c r="G274" s="42" t="s">
        <v>27</v>
      </c>
      <c r="H274" s="3">
        <f>DASHBOARD!$D$39</f>
        <v>30</v>
      </c>
      <c r="I274" s="11">
        <f>(DASHBOARD!$D$154*100)/60*(8/7)</f>
        <v>3.8095238095238093</v>
      </c>
      <c r="J274" s="11">
        <v>1</v>
      </c>
      <c r="K274" s="11">
        <f>D267*F267*I274*J274</f>
        <v>0</v>
      </c>
      <c r="L274" s="4">
        <f t="shared" ref="L274" si="13">H274*I274*J274</f>
        <v>114.28571428571428</v>
      </c>
      <c r="M274" s="27" t="s">
        <v>77</v>
      </c>
      <c r="N274" s="87" t="s">
        <v>115</v>
      </c>
    </row>
    <row r="275" spans="2:14">
      <c r="B275" s="23"/>
      <c r="D275" s="140"/>
      <c r="G275" s="1" t="s">
        <v>41</v>
      </c>
      <c r="H275" s="3">
        <f>DASHBOARD!$D$57</f>
        <v>3.95</v>
      </c>
      <c r="I275" s="11">
        <v>1</v>
      </c>
      <c r="J275" s="55">
        <f>2*SUM(I272:I274)/8</f>
        <v>3.4650455927051667</v>
      </c>
      <c r="K275" s="55"/>
      <c r="L275" s="4">
        <f>H275*I275*J275/DASHBOARD!$D$136</f>
        <v>3.4217325227963524</v>
      </c>
      <c r="M275" s="1" t="s">
        <v>139</v>
      </c>
      <c r="N275" s="87" t="s">
        <v>117</v>
      </c>
    </row>
    <row r="276" spans="2:14">
      <c r="B276" s="23"/>
      <c r="D276" s="140"/>
      <c r="G276" s="1" t="s">
        <v>9</v>
      </c>
      <c r="H276" s="3">
        <f>DASHBOARD!$D$58</f>
        <v>13.95</v>
      </c>
      <c r="I276" s="11">
        <v>1</v>
      </c>
      <c r="J276" s="55">
        <f>2*SUM(I272:I274)/8</f>
        <v>3.4650455927051667</v>
      </c>
      <c r="K276" s="55"/>
      <c r="L276" s="4">
        <f>H276*I276*J276/DASHBOARD!$D$136</f>
        <v>12.084346504559267</v>
      </c>
      <c r="M276" s="1" t="s">
        <v>139</v>
      </c>
      <c r="N276" s="87" t="s">
        <v>118</v>
      </c>
    </row>
    <row r="277" spans="2:14">
      <c r="B277" s="23"/>
      <c r="D277" s="140"/>
      <c r="G277" s="1" t="s">
        <v>16</v>
      </c>
      <c r="H277" s="3">
        <f>DASHBOARD!$D$59</f>
        <v>0.23960000000000001</v>
      </c>
      <c r="I277" s="11">
        <v>1</v>
      </c>
      <c r="J277" s="55">
        <f>ROUNDUP(I267/8,0)+(ROUNDUP(I272/8,0)+ROUNDUP(I273/8,0)+ROUNDUP(I274/8,0))*(100/DASHBOARD!$D$121)</f>
        <v>7.3829787234042552</v>
      </c>
      <c r="K277" s="55"/>
      <c r="L277" s="4">
        <f>H277*I277*J277/DASHBOARD!$D$136</f>
        <v>0.44224042553191489</v>
      </c>
      <c r="M277" s="1" t="s">
        <v>140</v>
      </c>
      <c r="N277" s="87" t="s">
        <v>119</v>
      </c>
    </row>
    <row r="278" spans="2:14">
      <c r="B278" s="23"/>
      <c r="D278" s="140"/>
      <c r="G278" s="1" t="s">
        <v>10</v>
      </c>
      <c r="H278" s="3">
        <f>DASHBOARD!$D$60</f>
        <v>1.7004999999999999</v>
      </c>
      <c r="I278" s="11">
        <v>1</v>
      </c>
      <c r="J278" s="55">
        <f>2*SUM(I272:I274)/8</f>
        <v>3.4650455927051667</v>
      </c>
      <c r="K278" s="55"/>
      <c r="L278" s="4">
        <f>H278*I278*J278/DASHBOARD!$D$136</f>
        <v>1.4730775075987839</v>
      </c>
      <c r="M278" s="1" t="s">
        <v>139</v>
      </c>
      <c r="N278" s="87" t="s">
        <v>119</v>
      </c>
    </row>
    <row r="279" spans="2:14">
      <c r="B279" s="23"/>
      <c r="D279" s="140"/>
      <c r="G279" s="1" t="s">
        <v>28</v>
      </c>
      <c r="H279" s="3">
        <f>DASHBOARD!$D$75</f>
        <v>12.16</v>
      </c>
      <c r="I279" s="11">
        <v>1</v>
      </c>
      <c r="J279" s="11">
        <v>100</v>
      </c>
      <c r="K279" s="11"/>
      <c r="L279" s="4">
        <f>H279*I279*J279/DASHBOARD!$D$136</f>
        <v>304</v>
      </c>
      <c r="N279" s="87" t="s">
        <v>141</v>
      </c>
    </row>
    <row r="280" spans="2:14">
      <c r="B280" s="23"/>
      <c r="C280" s="3"/>
      <c r="D280" s="140"/>
      <c r="G280" s="1" t="s">
        <v>29</v>
      </c>
      <c r="H280" s="3">
        <f>DASHBOARD!$D$76</f>
        <v>0.72</v>
      </c>
      <c r="I280" s="11">
        <v>1</v>
      </c>
      <c r="J280" s="11">
        <v>100</v>
      </c>
      <c r="K280" s="11"/>
      <c r="L280" s="4">
        <f>H280*I280*J280/DASHBOARD!$D$136</f>
        <v>18</v>
      </c>
      <c r="N280" s="87" t="s">
        <v>142</v>
      </c>
    </row>
    <row r="281" spans="2:14">
      <c r="B281" s="23"/>
      <c r="C281" s="3"/>
      <c r="D281" s="140"/>
      <c r="F281" s="139">
        <f>1-(F239^DASHBOARD!$D$136)</f>
        <v>2.0384399305364287E-3</v>
      </c>
      <c r="G281" s="42" t="s">
        <v>14</v>
      </c>
      <c r="H281" s="3">
        <f>DASHBOARD!$D$35</f>
        <v>24.612000000000002</v>
      </c>
      <c r="I281" s="11">
        <f>DASHBOARD!$D$150*(100/60)*(8/7)</f>
        <v>7.6190476190476186</v>
      </c>
      <c r="J281" s="11">
        <v>1</v>
      </c>
      <c r="K281" s="11">
        <f>D267*F281*I281*J281</f>
        <v>0</v>
      </c>
      <c r="L281" s="4">
        <f>H281*I281*J281/DASHBOARD!$D$136</f>
        <v>46.88</v>
      </c>
      <c r="M281" s="1" t="s">
        <v>50</v>
      </c>
      <c r="N281" s="87" t="s">
        <v>133</v>
      </c>
    </row>
    <row r="282" spans="2:14">
      <c r="B282" s="23"/>
      <c r="C282" s="3"/>
      <c r="D282" s="140"/>
      <c r="F282" s="133" t="s">
        <v>331</v>
      </c>
      <c r="G282" s="42" t="s">
        <v>31</v>
      </c>
      <c r="H282" s="3">
        <f>DASHBOARD!$D$44</f>
        <v>48</v>
      </c>
      <c r="I282" s="11">
        <f>SUM(I286:I288)*(1/100)</f>
        <v>0.19574468085106383</v>
      </c>
      <c r="J282" s="11">
        <v>1</v>
      </c>
      <c r="K282" s="11">
        <f>D267*F281*I282*J282</f>
        <v>0</v>
      </c>
      <c r="L282" s="4">
        <f>H282*I282*J282/DASHBOARD!$D$136</f>
        <v>2.3489361702127658</v>
      </c>
      <c r="M282" s="1" t="s">
        <v>136</v>
      </c>
      <c r="N282" s="87" t="s">
        <v>115</v>
      </c>
    </row>
    <row r="283" spans="2:14">
      <c r="B283" s="23"/>
      <c r="C283" s="3"/>
      <c r="D283" s="140"/>
      <c r="G283" s="42" t="s">
        <v>32</v>
      </c>
      <c r="H283" s="3">
        <f>DASHBOARD!$D$49</f>
        <v>58.847999999999999</v>
      </c>
      <c r="I283" s="11">
        <f>SUM(I286:I288)*(1/10)</f>
        <v>1.9574468085106382</v>
      </c>
      <c r="J283" s="11">
        <v>1</v>
      </c>
      <c r="K283" s="11">
        <f>D267*F281*I283*J283</f>
        <v>0</v>
      </c>
      <c r="L283" s="4">
        <f>H283*I283*J283/DASHBOARD!$D$136</f>
        <v>28.79795744680851</v>
      </c>
      <c r="M283" s="1" t="s">
        <v>137</v>
      </c>
      <c r="N283" s="87" t="s">
        <v>134</v>
      </c>
    </row>
    <row r="284" spans="2:14">
      <c r="B284" s="23"/>
      <c r="D284" s="140"/>
      <c r="G284" s="42" t="s">
        <v>33</v>
      </c>
      <c r="H284" s="3">
        <f>DASHBOARD!$D$50</f>
        <v>39</v>
      </c>
      <c r="I284" s="11">
        <f>SUM(I286:I288)*(1/33)</f>
        <v>0.59316569954867826</v>
      </c>
      <c r="J284" s="11">
        <v>1</v>
      </c>
      <c r="K284" s="11">
        <f>D267*F281*I284*J284</f>
        <v>0</v>
      </c>
      <c r="L284" s="4">
        <f>H284*I284*J284/DASHBOARD!$D$136</f>
        <v>5.7833655705996128</v>
      </c>
      <c r="M284" s="1" t="s">
        <v>138</v>
      </c>
      <c r="N284" s="87" t="s">
        <v>115</v>
      </c>
    </row>
    <row r="285" spans="2:14">
      <c r="B285" s="23"/>
      <c r="D285" s="140"/>
      <c r="G285" s="42" t="s">
        <v>34</v>
      </c>
      <c r="H285" s="3">
        <f>DASHBOARD!$D$51</f>
        <v>43.199999999999996</v>
      </c>
      <c r="I285" s="11">
        <f>SUM(I286:I288)*(1/100)</f>
        <v>0.19574468085106383</v>
      </c>
      <c r="J285" s="11">
        <v>1</v>
      </c>
      <c r="K285" s="11">
        <f>D267*F281*I285*J285</f>
        <v>0</v>
      </c>
      <c r="L285" s="4">
        <f>H285*I285*J285/DASHBOARD!$D$136</f>
        <v>2.114042553191489</v>
      </c>
      <c r="M285" s="1" t="s">
        <v>136</v>
      </c>
      <c r="N285" s="87" t="s">
        <v>135</v>
      </c>
    </row>
    <row r="286" spans="2:14">
      <c r="B286" s="23"/>
      <c r="D286" s="140"/>
      <c r="F286" s="2" t="s">
        <v>451</v>
      </c>
      <c r="G286" s="42" t="s">
        <v>27</v>
      </c>
      <c r="H286" s="3">
        <f>DASHBOARD!$D$39</f>
        <v>30</v>
      </c>
      <c r="I286" s="52">
        <f>((DASHBOARD!$D$151+1)*100/60)*(8/7)</f>
        <v>7.6190476190476186</v>
      </c>
      <c r="J286" s="11">
        <v>1</v>
      </c>
      <c r="K286" s="11">
        <f>D267*F281*I286*J286</f>
        <v>0</v>
      </c>
      <c r="L286" s="4">
        <f>H286*I286*J286/DASHBOARD!$D$136</f>
        <v>57.142857142857139</v>
      </c>
      <c r="M286" s="1" t="s">
        <v>342</v>
      </c>
      <c r="N286" s="87" t="s">
        <v>115</v>
      </c>
    </row>
    <row r="287" spans="2:14">
      <c r="B287" s="23"/>
      <c r="D287" s="140"/>
      <c r="F287" s="2" t="s">
        <v>452</v>
      </c>
      <c r="G287" s="42" t="s">
        <v>27</v>
      </c>
      <c r="H287" s="3">
        <f>DASHBOARD!$D$39</f>
        <v>30</v>
      </c>
      <c r="I287" s="52">
        <f>(DASHBOARD!$D$152*100/60)*(8/7)</f>
        <v>2.43161094224924</v>
      </c>
      <c r="J287" s="11">
        <v>1</v>
      </c>
      <c r="K287" s="11">
        <f>D267*F281*I287*J287</f>
        <v>0</v>
      </c>
      <c r="L287" s="4">
        <f>H287*I287*J287/DASHBOARD!$D$136</f>
        <v>18.237082066869299</v>
      </c>
      <c r="M287" s="1" t="s">
        <v>49</v>
      </c>
      <c r="N287" s="87" t="s">
        <v>115</v>
      </c>
    </row>
    <row r="288" spans="2:14">
      <c r="B288" s="23"/>
      <c r="D288" s="140"/>
      <c r="F288" s="2" t="s">
        <v>453</v>
      </c>
      <c r="G288" s="42" t="s">
        <v>27</v>
      </c>
      <c r="H288" s="3">
        <f>DASHBOARD!$D$39</f>
        <v>30</v>
      </c>
      <c r="I288" s="11">
        <f>(DASHBOARD!$D$153*100)/60*(8/7)</f>
        <v>9.5238095238095237</v>
      </c>
      <c r="J288" s="11">
        <v>1</v>
      </c>
      <c r="K288" s="11">
        <f>D267*F281*I288*J288</f>
        <v>0</v>
      </c>
      <c r="L288" s="4">
        <f>H288*I288*J288*0</f>
        <v>0</v>
      </c>
      <c r="M288" s="27" t="s">
        <v>345</v>
      </c>
      <c r="N288" s="87" t="s">
        <v>115</v>
      </c>
    </row>
    <row r="289" spans="2:14">
      <c r="B289" s="23"/>
      <c r="D289" s="140"/>
      <c r="G289" s="1" t="s">
        <v>41</v>
      </c>
      <c r="H289" s="3">
        <f>DASHBOARD!$D$57</f>
        <v>3.95</v>
      </c>
      <c r="I289" s="11">
        <v>1</v>
      </c>
      <c r="J289" s="55">
        <f>2*SUM(I286:I288)/8</f>
        <v>4.8936170212765955</v>
      </c>
      <c r="K289" s="55"/>
      <c r="L289" s="4">
        <f>H289*I289*J289/DASHBOARD!$D$136</f>
        <v>4.832446808510638</v>
      </c>
      <c r="M289" s="1" t="s">
        <v>139</v>
      </c>
      <c r="N289" s="87" t="s">
        <v>117</v>
      </c>
    </row>
    <row r="290" spans="2:14">
      <c r="B290" s="23"/>
      <c r="D290" s="140"/>
      <c r="G290" s="1" t="s">
        <v>9</v>
      </c>
      <c r="H290" s="3">
        <f>DASHBOARD!$D$58</f>
        <v>13.95</v>
      </c>
      <c r="I290" s="11">
        <v>1</v>
      </c>
      <c r="J290" s="55">
        <f>2*SUM(I286:I288)/8</f>
        <v>4.8936170212765955</v>
      </c>
      <c r="K290" s="55"/>
      <c r="L290" s="4">
        <f>H290*I290*J290/DASHBOARD!$D$136</f>
        <v>17.066489361702125</v>
      </c>
      <c r="M290" s="1" t="s">
        <v>139</v>
      </c>
      <c r="N290" s="87" t="s">
        <v>118</v>
      </c>
    </row>
    <row r="291" spans="2:14">
      <c r="B291" s="23"/>
      <c r="D291" s="140"/>
      <c r="G291" s="1" t="s">
        <v>16</v>
      </c>
      <c r="H291" s="3">
        <f>DASHBOARD!$D$59</f>
        <v>0.23960000000000001</v>
      </c>
      <c r="I291" s="11">
        <v>1</v>
      </c>
      <c r="J291" s="55">
        <f>ROUNDUP(I281/8,0)+(ROUNDUP(I286/8,0)+ROUNDUP(I287/8,0)+ROUNDUP(I288/8,0))*(100/DASHBOARD!$D$121)</f>
        <v>9.5106382978723403</v>
      </c>
      <c r="K291" s="55"/>
      <c r="L291" s="4">
        <f>H291*I291*J291/DASHBOARD!$D$136</f>
        <v>0.56968723404255317</v>
      </c>
      <c r="M291" s="1" t="s">
        <v>140</v>
      </c>
      <c r="N291" s="87" t="s">
        <v>119</v>
      </c>
    </row>
    <row r="292" spans="2:14">
      <c r="B292" s="23"/>
      <c r="D292" s="140"/>
      <c r="G292" s="1" t="s">
        <v>10</v>
      </c>
      <c r="H292" s="3">
        <f>DASHBOARD!$D$60</f>
        <v>1.7004999999999999</v>
      </c>
      <c r="I292" s="11">
        <v>1</v>
      </c>
      <c r="J292" s="55">
        <f>2*SUM(I286:I288)/8</f>
        <v>4.8936170212765955</v>
      </c>
      <c r="K292" s="55"/>
      <c r="L292" s="4">
        <f>H292*I292*J292/DASHBOARD!$D$136</f>
        <v>2.0803989361702127</v>
      </c>
      <c r="M292" s="1" t="s">
        <v>139</v>
      </c>
      <c r="N292" s="87" t="s">
        <v>119</v>
      </c>
    </row>
    <row r="293" spans="2:14">
      <c r="B293" s="23"/>
      <c r="D293" s="140"/>
      <c r="G293" s="1" t="s">
        <v>28</v>
      </c>
      <c r="H293" s="3">
        <f>DASHBOARD!$D$75</f>
        <v>12.16</v>
      </c>
      <c r="I293" s="11">
        <v>1</v>
      </c>
      <c r="J293" s="11">
        <v>100</v>
      </c>
      <c r="K293" s="11"/>
      <c r="L293" s="4">
        <f>H293*I293*J293/DASHBOARD!$D$136</f>
        <v>304</v>
      </c>
      <c r="N293" s="87" t="s">
        <v>141</v>
      </c>
    </row>
    <row r="294" spans="2:14" ht="16.350000000000001" customHeight="1">
      <c r="B294" s="23"/>
      <c r="D294" s="140"/>
      <c r="G294" s="1" t="s">
        <v>29</v>
      </c>
      <c r="H294" s="3">
        <f>DASHBOARD!$D$76</f>
        <v>0.72</v>
      </c>
      <c r="I294" s="11">
        <v>1</v>
      </c>
      <c r="J294" s="11">
        <v>100</v>
      </c>
      <c r="K294" s="11"/>
      <c r="L294" s="4">
        <f>H294*I294*J294/DASHBOARD!$D$136</f>
        <v>18</v>
      </c>
      <c r="N294" s="87" t="s">
        <v>142</v>
      </c>
    </row>
    <row r="295" spans="2:14" ht="16.350000000000001" customHeight="1">
      <c r="B295" s="23"/>
      <c r="D295" s="140"/>
      <c r="E295" s="21" t="s">
        <v>338</v>
      </c>
      <c r="F295" s="139">
        <f>1-F309</f>
        <v>0.74980866869803209</v>
      </c>
      <c r="G295" s="42" t="s">
        <v>14</v>
      </c>
      <c r="H295" s="3">
        <f>DASHBOARD!$D$35</f>
        <v>24.612000000000002</v>
      </c>
      <c r="I295" s="11">
        <f>DASHBOARD!$D$150*(100/60)*(8/7)</f>
        <v>7.6190476190476186</v>
      </c>
      <c r="J295" s="11">
        <v>1</v>
      </c>
      <c r="K295" s="11">
        <f>D267*E301*F295*I295*J295</f>
        <v>0</v>
      </c>
      <c r="L295" s="4">
        <f>H295*I295*J295</f>
        <v>187.52</v>
      </c>
      <c r="M295" s="1" t="s">
        <v>50</v>
      </c>
      <c r="N295" s="87" t="s">
        <v>133</v>
      </c>
    </row>
    <row r="296" spans="2:14" ht="16.350000000000001" customHeight="1">
      <c r="B296" s="23"/>
      <c r="D296" s="140"/>
      <c r="E296" s="21" t="s">
        <v>334</v>
      </c>
      <c r="F296" s="133" t="s">
        <v>332</v>
      </c>
      <c r="G296" s="42" t="s">
        <v>31</v>
      </c>
      <c r="H296" s="3">
        <f>DASHBOARD!$D$44</f>
        <v>48</v>
      </c>
      <c r="I296" s="11">
        <f>SUM(I300:I302)*(1/100)</f>
        <v>0.11955420466058762</v>
      </c>
      <c r="J296" s="11">
        <v>1</v>
      </c>
      <c r="K296" s="11">
        <f>D267*E301*F295*I296*J296</f>
        <v>0</v>
      </c>
      <c r="L296" s="4">
        <f>H296*I296*J296</f>
        <v>5.7386018237082057</v>
      </c>
      <c r="M296" s="1" t="s">
        <v>136</v>
      </c>
      <c r="N296" s="87" t="s">
        <v>115</v>
      </c>
    </row>
    <row r="297" spans="2:14" ht="16.350000000000001" customHeight="1">
      <c r="B297" s="23"/>
      <c r="D297" s="140"/>
      <c r="E297" s="137" t="s">
        <v>339</v>
      </c>
      <c r="G297" s="42" t="s">
        <v>32</v>
      </c>
      <c r="H297" s="3">
        <f>DASHBOARD!$D$49</f>
        <v>58.847999999999999</v>
      </c>
      <c r="I297" s="11">
        <f>SUM(I300:I302)*(1/10)</f>
        <v>1.1955420466058762</v>
      </c>
      <c r="J297" s="11">
        <v>1</v>
      </c>
      <c r="K297" s="11">
        <f>D267*E301*F295*I297*J297</f>
        <v>0</v>
      </c>
      <c r="L297" s="4">
        <f>H297*I297*J297</f>
        <v>70.355258358662596</v>
      </c>
      <c r="M297" s="1" t="s">
        <v>137</v>
      </c>
      <c r="N297" s="87" t="s">
        <v>134</v>
      </c>
    </row>
    <row r="298" spans="2:14" ht="16.350000000000001" customHeight="1">
      <c r="B298" s="23"/>
      <c r="D298" s="140"/>
      <c r="E298" s="137" t="s">
        <v>340</v>
      </c>
      <c r="G298" s="42" t="s">
        <v>33</v>
      </c>
      <c r="H298" s="3">
        <f>DASHBOARD!$D$50</f>
        <v>39</v>
      </c>
      <c r="I298" s="11">
        <f>SUM(I300:I302)*(1/33)</f>
        <v>0.36228546866844735</v>
      </c>
      <c r="J298" s="11">
        <v>1</v>
      </c>
      <c r="K298" s="11">
        <f>D267*E301*F295*I298*J298</f>
        <v>0</v>
      </c>
      <c r="L298" s="4">
        <f>H298*I298*J298</f>
        <v>14.129133278069446</v>
      </c>
      <c r="M298" s="1" t="s">
        <v>138</v>
      </c>
      <c r="N298" s="87" t="s">
        <v>115</v>
      </c>
    </row>
    <row r="299" spans="2:14" ht="16.350000000000001" customHeight="1">
      <c r="B299" s="23"/>
      <c r="D299" s="140"/>
      <c r="E299" s="137" t="s">
        <v>336</v>
      </c>
      <c r="G299" s="42" t="s">
        <v>34</v>
      </c>
      <c r="H299" s="3">
        <f>DASHBOARD!$D$51</f>
        <v>43.199999999999996</v>
      </c>
      <c r="I299" s="11">
        <f>SUM(I300:I302)*(1/100)</f>
        <v>0.11955420466058762</v>
      </c>
      <c r="J299" s="11">
        <v>1</v>
      </c>
      <c r="K299" s="11">
        <f>D267*E301*F295*I299*J299</f>
        <v>0</v>
      </c>
      <c r="L299" s="4">
        <f>H299*I299*J299</f>
        <v>5.1647416413373852</v>
      </c>
      <c r="M299" s="1" t="s">
        <v>136</v>
      </c>
      <c r="N299" s="87" t="s">
        <v>135</v>
      </c>
    </row>
    <row r="300" spans="2:14" ht="16.350000000000001" customHeight="1">
      <c r="B300" s="23"/>
      <c r="D300" s="140"/>
      <c r="E300" s="138" t="s">
        <v>341</v>
      </c>
      <c r="F300" s="2" t="s">
        <v>451</v>
      </c>
      <c r="G300" s="42" t="s">
        <v>27</v>
      </c>
      <c r="H300" s="3">
        <f>DASHBOARD!$D$39</f>
        <v>30</v>
      </c>
      <c r="I300" s="52">
        <f>(DASHBOARD!$D$151*100/60)*(8/7)</f>
        <v>5.7142857142857135</v>
      </c>
      <c r="J300" s="11">
        <v>1</v>
      </c>
      <c r="K300" s="11">
        <f>D267*E301*F295*I300*J300</f>
        <v>0</v>
      </c>
      <c r="L300" s="4">
        <f t="shared" ref="L300:L322" si="14">H300*I300*J300</f>
        <v>171.42857142857142</v>
      </c>
      <c r="M300" s="1" t="s">
        <v>48</v>
      </c>
      <c r="N300" s="87" t="s">
        <v>115</v>
      </c>
    </row>
    <row r="301" spans="2:14" ht="16.350000000000001" customHeight="1">
      <c r="B301" s="23"/>
      <c r="D301" s="140"/>
      <c r="E301" s="142">
        <f>F281</f>
        <v>2.0384399305364287E-3</v>
      </c>
      <c r="F301" s="2" t="s">
        <v>452</v>
      </c>
      <c r="G301" s="42" t="s">
        <v>27</v>
      </c>
      <c r="H301" s="3">
        <f>DASHBOARD!$D$39</f>
        <v>30</v>
      </c>
      <c r="I301" s="52">
        <f>(DASHBOARD!$D$152*100/60)*(8/7)</f>
        <v>2.43161094224924</v>
      </c>
      <c r="J301" s="11">
        <v>1</v>
      </c>
      <c r="K301" s="11">
        <f>D267*E301*F295*I301*J301</f>
        <v>0</v>
      </c>
      <c r="L301" s="4">
        <f t="shared" si="14"/>
        <v>72.948328267477194</v>
      </c>
      <c r="M301" s="1" t="s">
        <v>49</v>
      </c>
      <c r="N301" s="87" t="s">
        <v>115</v>
      </c>
    </row>
    <row r="302" spans="2:14" ht="16.350000000000001" customHeight="1">
      <c r="B302" s="23"/>
      <c r="D302" s="140"/>
      <c r="E302" s="137"/>
      <c r="F302" s="2" t="s">
        <v>453</v>
      </c>
      <c r="G302" s="42" t="s">
        <v>27</v>
      </c>
      <c r="H302" s="3">
        <f>DASHBOARD!$D$39</f>
        <v>30</v>
      </c>
      <c r="I302" s="11">
        <f>(DASHBOARD!$D$154*100)/60*(8/7)</f>
        <v>3.8095238095238093</v>
      </c>
      <c r="J302" s="11">
        <v>1</v>
      </c>
      <c r="K302" s="11">
        <f>D267*E301*F295*I302*J302</f>
        <v>0</v>
      </c>
      <c r="L302" s="4">
        <f t="shared" si="14"/>
        <v>114.28571428571428</v>
      </c>
      <c r="M302" s="27" t="s">
        <v>77</v>
      </c>
      <c r="N302" s="87" t="s">
        <v>115</v>
      </c>
    </row>
    <row r="303" spans="2:14" ht="16.350000000000001" customHeight="1">
      <c r="B303" s="23"/>
      <c r="D303" s="140"/>
      <c r="G303" s="1" t="s">
        <v>41</v>
      </c>
      <c r="H303" s="3">
        <f>DASHBOARD!$D$57</f>
        <v>3.95</v>
      </c>
      <c r="I303" s="11">
        <v>1</v>
      </c>
      <c r="J303" s="55">
        <f>2*SUM(I300:I302)/8</f>
        <v>2.9888551165146904</v>
      </c>
      <c r="K303" s="55"/>
      <c r="L303" s="4">
        <f t="shared" si="14"/>
        <v>11.805977710233028</v>
      </c>
      <c r="M303" s="1" t="s">
        <v>139</v>
      </c>
      <c r="N303" s="87" t="s">
        <v>117</v>
      </c>
    </row>
    <row r="304" spans="2:14" ht="16.350000000000001" customHeight="1">
      <c r="B304" s="23"/>
      <c r="D304" s="140"/>
      <c r="G304" s="1" t="s">
        <v>9</v>
      </c>
      <c r="H304" s="3">
        <f>DASHBOARD!$D$58</f>
        <v>13.95</v>
      </c>
      <c r="I304" s="11">
        <v>1</v>
      </c>
      <c r="J304" s="55">
        <f>2*SUM(I300:I302)/8</f>
        <v>2.9888551165146904</v>
      </c>
      <c r="K304" s="55"/>
      <c r="L304" s="4">
        <f t="shared" si="14"/>
        <v>41.69452887537993</v>
      </c>
      <c r="M304" s="1" t="s">
        <v>139</v>
      </c>
      <c r="N304" s="87" t="s">
        <v>118</v>
      </c>
    </row>
    <row r="305" spans="2:14" ht="16.350000000000001" customHeight="1">
      <c r="B305" s="23"/>
      <c r="D305" s="140"/>
      <c r="G305" s="1" t="s">
        <v>16</v>
      </c>
      <c r="H305" s="3">
        <f>DASHBOARD!$D$59</f>
        <v>0.23960000000000001</v>
      </c>
      <c r="I305" s="11">
        <v>1</v>
      </c>
      <c r="J305" s="55">
        <f>ROUNDUP(I295/8,0)+(ROUNDUP(I300/8,0)+ROUNDUP(I301/8,0)+ROUNDUP(I302/8,0))*(100/DASHBOARD!$D$121)</f>
        <v>7.3829787234042552</v>
      </c>
      <c r="K305" s="55"/>
      <c r="L305" s="4">
        <f t="shared" si="14"/>
        <v>1.7689617021276596</v>
      </c>
      <c r="M305" s="1" t="s">
        <v>140</v>
      </c>
      <c r="N305" s="87" t="s">
        <v>119</v>
      </c>
    </row>
    <row r="306" spans="2:14" ht="16.350000000000001" customHeight="1">
      <c r="B306" s="23"/>
      <c r="D306" s="140"/>
      <c r="G306" s="1" t="s">
        <v>10</v>
      </c>
      <c r="H306" s="3">
        <f>DASHBOARD!$D$60</f>
        <v>1.7004999999999999</v>
      </c>
      <c r="I306" s="11">
        <v>1</v>
      </c>
      <c r="J306" s="55">
        <f>2*SUM(I300:I302)/8</f>
        <v>2.9888551165146904</v>
      </c>
      <c r="K306" s="55"/>
      <c r="L306" s="4">
        <f t="shared" si="14"/>
        <v>5.082548125633231</v>
      </c>
      <c r="M306" s="1" t="s">
        <v>139</v>
      </c>
      <c r="N306" s="87" t="s">
        <v>119</v>
      </c>
    </row>
    <row r="307" spans="2:14" ht="16.350000000000001" customHeight="1">
      <c r="B307" s="23"/>
      <c r="D307" s="140"/>
      <c r="G307" s="1" t="s">
        <v>28</v>
      </c>
      <c r="H307" s="3">
        <f>DASHBOARD!$D$75</f>
        <v>12.16</v>
      </c>
      <c r="I307" s="11">
        <v>1</v>
      </c>
      <c r="J307" s="11">
        <v>100</v>
      </c>
      <c r="K307" s="11"/>
      <c r="L307" s="4">
        <f t="shared" si="14"/>
        <v>1216</v>
      </c>
      <c r="N307" s="87" t="s">
        <v>141</v>
      </c>
    </row>
    <row r="308" spans="2:14" ht="16.350000000000001" customHeight="1">
      <c r="B308" s="23"/>
      <c r="D308" s="140"/>
      <c r="G308" s="1" t="s">
        <v>29</v>
      </c>
      <c r="H308" s="3">
        <f>DASHBOARD!$D$76</f>
        <v>0.72</v>
      </c>
      <c r="I308" s="11">
        <v>1</v>
      </c>
      <c r="J308" s="11">
        <v>100</v>
      </c>
      <c r="K308" s="11"/>
      <c r="L308" s="4">
        <f t="shared" si="14"/>
        <v>72</v>
      </c>
      <c r="N308" s="87" t="s">
        <v>142</v>
      </c>
    </row>
    <row r="309" spans="2:14" ht="16.350000000000001" customHeight="1">
      <c r="B309" s="23"/>
      <c r="D309" s="140"/>
      <c r="F309" s="139">
        <f>DASHBOARD!$D$102/E301</f>
        <v>0.25019133130196791</v>
      </c>
      <c r="G309" s="42" t="s">
        <v>14</v>
      </c>
      <c r="H309" s="3">
        <f>DASHBOARD!$D$35</f>
        <v>24.612000000000002</v>
      </c>
      <c r="I309" s="11">
        <f>DASHBOARD!$D$150*(100/60)*(8/7)</f>
        <v>7.6190476190476186</v>
      </c>
      <c r="J309" s="11">
        <v>1</v>
      </c>
      <c r="K309" s="11">
        <f>D267*E301*F309*I309*J309</f>
        <v>0</v>
      </c>
      <c r="L309" s="4">
        <f t="shared" si="14"/>
        <v>187.52</v>
      </c>
      <c r="M309" s="1" t="s">
        <v>50</v>
      </c>
      <c r="N309" s="87" t="s">
        <v>133</v>
      </c>
    </row>
    <row r="310" spans="2:14" ht="16.350000000000001" customHeight="1">
      <c r="B310" s="23"/>
      <c r="D310" s="140"/>
      <c r="F310" s="133" t="s">
        <v>331</v>
      </c>
      <c r="G310" s="42" t="s">
        <v>31</v>
      </c>
      <c r="H310" s="3">
        <f>DASHBOARD!$D$44</f>
        <v>48</v>
      </c>
      <c r="I310" s="11">
        <f>SUM(I314:I316)*(1/100)</f>
        <v>0.17669706180344477</v>
      </c>
      <c r="J310" s="11">
        <v>1</v>
      </c>
      <c r="K310" s="11">
        <f>D267*E301*F309*I310*J310</f>
        <v>0</v>
      </c>
      <c r="L310" s="4">
        <f t="shared" si="14"/>
        <v>8.4814589665653486</v>
      </c>
      <c r="M310" s="1" t="s">
        <v>136</v>
      </c>
      <c r="N310" s="87" t="s">
        <v>115</v>
      </c>
    </row>
    <row r="311" spans="2:14" ht="16.350000000000001" customHeight="1">
      <c r="B311" s="23"/>
      <c r="D311" s="140"/>
      <c r="G311" s="42" t="s">
        <v>32</v>
      </c>
      <c r="H311" s="3">
        <f>DASHBOARD!$D$49</f>
        <v>58.847999999999999</v>
      </c>
      <c r="I311" s="11">
        <f>SUM(I314:I316)*(1/10)</f>
        <v>1.7669706180344478</v>
      </c>
      <c r="J311" s="11">
        <v>1</v>
      </c>
      <c r="K311" s="11">
        <f>D267*E301*F309*I311*J311</f>
        <v>0</v>
      </c>
      <c r="L311" s="4">
        <f t="shared" si="14"/>
        <v>103.98268693009118</v>
      </c>
      <c r="M311" s="1" t="s">
        <v>137</v>
      </c>
      <c r="N311" s="87" t="s">
        <v>134</v>
      </c>
    </row>
    <row r="312" spans="2:14" ht="16.350000000000001" customHeight="1">
      <c r="B312" s="23"/>
      <c r="D312" s="140"/>
      <c r="G312" s="42" t="s">
        <v>33</v>
      </c>
      <c r="H312" s="3">
        <f>DASHBOARD!$D$50</f>
        <v>39</v>
      </c>
      <c r="I312" s="11">
        <f>SUM(I314:I316)*(1/33)</f>
        <v>0.53544564182862053</v>
      </c>
      <c r="J312" s="11">
        <v>1</v>
      </c>
      <c r="K312" s="11">
        <f>D267*E301*F309*I312*J312</f>
        <v>0</v>
      </c>
      <c r="L312" s="4">
        <f t="shared" si="14"/>
        <v>20.882380031316202</v>
      </c>
      <c r="M312" s="1" t="s">
        <v>138</v>
      </c>
      <c r="N312" s="87" t="s">
        <v>115</v>
      </c>
    </row>
    <row r="313" spans="2:14" ht="16.350000000000001" customHeight="1">
      <c r="B313" s="23"/>
      <c r="D313" s="140"/>
      <c r="G313" s="42" t="s">
        <v>34</v>
      </c>
      <c r="H313" s="3">
        <f>DASHBOARD!$D$51</f>
        <v>43.199999999999996</v>
      </c>
      <c r="I313" s="11">
        <f>SUM(I314:I316)*(1/100)</f>
        <v>0.17669706180344477</v>
      </c>
      <c r="J313" s="11">
        <v>1</v>
      </c>
      <c r="K313" s="11">
        <f>D267*E301*F309*I313*J313</f>
        <v>0</v>
      </c>
      <c r="L313" s="4">
        <f t="shared" si="14"/>
        <v>7.6333130699088132</v>
      </c>
      <c r="M313" s="1" t="s">
        <v>136</v>
      </c>
      <c r="N313" s="87" t="s">
        <v>135</v>
      </c>
    </row>
    <row r="314" spans="2:14" ht="16.350000000000001" customHeight="1">
      <c r="B314" s="23"/>
      <c r="D314" s="140"/>
      <c r="F314" s="2" t="s">
        <v>451</v>
      </c>
      <c r="G314" s="42" t="s">
        <v>27</v>
      </c>
      <c r="H314" s="3">
        <f>DASHBOARD!$D$39</f>
        <v>30</v>
      </c>
      <c r="I314" s="52">
        <f>(DASHBOARD!$D$151*100/60)*(8/7)</f>
        <v>5.7142857142857135</v>
      </c>
      <c r="J314" s="11">
        <v>1</v>
      </c>
      <c r="K314" s="11">
        <f>D267*E301*F309*I314*J314</f>
        <v>0</v>
      </c>
      <c r="L314" s="4">
        <f t="shared" si="14"/>
        <v>171.42857142857142</v>
      </c>
      <c r="M314" s="1" t="s">
        <v>48</v>
      </c>
      <c r="N314" s="87" t="s">
        <v>115</v>
      </c>
    </row>
    <row r="315" spans="2:14" ht="16.350000000000001" customHeight="1">
      <c r="B315" s="23"/>
      <c r="D315" s="140"/>
      <c r="F315" s="2" t="s">
        <v>452</v>
      </c>
      <c r="G315" s="42" t="s">
        <v>27</v>
      </c>
      <c r="H315" s="3">
        <f>DASHBOARD!$D$39</f>
        <v>30</v>
      </c>
      <c r="I315" s="52">
        <f>(DASHBOARD!$D$152*100/60)*(8/7)</f>
        <v>2.43161094224924</v>
      </c>
      <c r="J315" s="11">
        <v>1</v>
      </c>
      <c r="K315" s="11">
        <f>D267*E301*F309*I315*J315</f>
        <v>0</v>
      </c>
      <c r="L315" s="4">
        <f t="shared" si="14"/>
        <v>72.948328267477194</v>
      </c>
      <c r="M315" s="1" t="s">
        <v>49</v>
      </c>
      <c r="N315" s="87" t="s">
        <v>115</v>
      </c>
    </row>
    <row r="316" spans="2:14" ht="16.350000000000001" customHeight="1">
      <c r="B316" s="23"/>
      <c r="D316" s="140"/>
      <c r="F316" s="2" t="s">
        <v>453</v>
      </c>
      <c r="G316" s="42" t="s">
        <v>27</v>
      </c>
      <c r="H316" s="3">
        <f>DASHBOARD!$D$39</f>
        <v>30</v>
      </c>
      <c r="I316" s="11">
        <f>(DASHBOARD!$D$153*100)/60*(8/7)</f>
        <v>9.5238095238095237</v>
      </c>
      <c r="J316" s="11">
        <v>1</v>
      </c>
      <c r="K316" s="11">
        <f>D267*E301*F309*I316*J316</f>
        <v>0</v>
      </c>
      <c r="L316" s="4">
        <f t="shared" si="14"/>
        <v>285.71428571428572</v>
      </c>
      <c r="M316" s="27" t="s">
        <v>171</v>
      </c>
      <c r="N316" s="87" t="s">
        <v>115</v>
      </c>
    </row>
    <row r="317" spans="2:14" ht="16.350000000000001" customHeight="1">
      <c r="B317" s="23"/>
      <c r="D317" s="140"/>
      <c r="G317" s="1" t="s">
        <v>41</v>
      </c>
      <c r="H317" s="3">
        <f>DASHBOARD!$D$57</f>
        <v>3.95</v>
      </c>
      <c r="I317" s="11">
        <v>1</v>
      </c>
      <c r="J317" s="55">
        <f>2*SUM(I314:I316)/8</f>
        <v>4.4174265450861192</v>
      </c>
      <c r="K317" s="55"/>
      <c r="L317" s="4">
        <f t="shared" si="14"/>
        <v>17.448834853090172</v>
      </c>
      <c r="M317" s="1" t="s">
        <v>139</v>
      </c>
      <c r="N317" s="87" t="s">
        <v>117</v>
      </c>
    </row>
    <row r="318" spans="2:14" ht="16.350000000000001" customHeight="1">
      <c r="B318" s="23"/>
      <c r="D318" s="140"/>
      <c r="G318" s="1" t="s">
        <v>9</v>
      </c>
      <c r="H318" s="3">
        <f>DASHBOARD!$D$58</f>
        <v>13.95</v>
      </c>
      <c r="I318" s="11">
        <v>1</v>
      </c>
      <c r="J318" s="55">
        <f>2*SUM(I314:I316)/8</f>
        <v>4.4174265450861192</v>
      </c>
      <c r="K318" s="55"/>
      <c r="L318" s="4">
        <f t="shared" si="14"/>
        <v>61.623100303951361</v>
      </c>
      <c r="M318" s="1" t="s">
        <v>139</v>
      </c>
      <c r="N318" s="87" t="s">
        <v>118</v>
      </c>
    </row>
    <row r="319" spans="2:14" ht="16.350000000000001" customHeight="1">
      <c r="B319" s="23"/>
      <c r="D319" s="140"/>
      <c r="G319" s="1" t="s">
        <v>16</v>
      </c>
      <c r="H319" s="3">
        <f>DASHBOARD!$D$59</f>
        <v>0.23960000000000001</v>
      </c>
      <c r="I319" s="11">
        <v>1</v>
      </c>
      <c r="J319" s="55">
        <f>ROUNDUP(I309/8,0)+(ROUNDUP(I314/8,0)+ROUNDUP(I315/8,0)+ROUNDUP(I316/8,0))*(100/DASHBOARD!$D$121)</f>
        <v>9.5106382978723403</v>
      </c>
      <c r="K319" s="55"/>
      <c r="L319" s="4">
        <f t="shared" si="14"/>
        <v>2.2787489361702127</v>
      </c>
      <c r="M319" s="1" t="s">
        <v>140</v>
      </c>
      <c r="N319" s="87" t="s">
        <v>119</v>
      </c>
    </row>
    <row r="320" spans="2:14" ht="16.350000000000001" customHeight="1">
      <c r="B320" s="23"/>
      <c r="D320" s="140"/>
      <c r="G320" s="1" t="s">
        <v>10</v>
      </c>
      <c r="H320" s="3">
        <f>DASHBOARD!$D$60</f>
        <v>1.7004999999999999</v>
      </c>
      <c r="I320" s="11">
        <v>1</v>
      </c>
      <c r="J320" s="55">
        <f>2*SUM(I314:I316)/8</f>
        <v>4.4174265450861192</v>
      </c>
      <c r="K320" s="55"/>
      <c r="L320" s="4">
        <f t="shared" si="14"/>
        <v>7.5118338399189453</v>
      </c>
      <c r="M320" s="1" t="s">
        <v>139</v>
      </c>
      <c r="N320" s="87" t="s">
        <v>119</v>
      </c>
    </row>
    <row r="321" spans="2:14" ht="16.350000000000001" customHeight="1">
      <c r="B321" s="23"/>
      <c r="D321" s="140"/>
      <c r="G321" s="1" t="s">
        <v>28</v>
      </c>
      <c r="H321" s="3">
        <f>DASHBOARD!$D$75</f>
        <v>12.16</v>
      </c>
      <c r="I321" s="11">
        <v>1</v>
      </c>
      <c r="J321" s="11">
        <v>100</v>
      </c>
      <c r="K321" s="11"/>
      <c r="L321" s="4">
        <f t="shared" si="14"/>
        <v>1216</v>
      </c>
      <c r="N321" s="87" t="s">
        <v>141</v>
      </c>
    </row>
    <row r="322" spans="2:14" ht="16.350000000000001" customHeight="1">
      <c r="B322" s="23"/>
      <c r="D322" s="140"/>
      <c r="G322" s="1" t="s">
        <v>29</v>
      </c>
      <c r="H322" s="3">
        <f>DASHBOARD!$D$76</f>
        <v>0.72</v>
      </c>
      <c r="I322" s="11">
        <v>1</v>
      </c>
      <c r="J322" s="11">
        <v>100</v>
      </c>
      <c r="K322" s="11"/>
      <c r="L322" s="4">
        <f t="shared" si="14"/>
        <v>72</v>
      </c>
      <c r="N322" s="87" t="s">
        <v>142</v>
      </c>
    </row>
    <row r="323" spans="2:14" ht="21" customHeight="1">
      <c r="B323" s="23"/>
      <c r="C323" s="26">
        <f>C267</f>
        <v>338179</v>
      </c>
      <c r="D323" s="244">
        <f>DASHBOARD!$D$112*DASHBOARD!$D$139</f>
        <v>0</v>
      </c>
      <c r="E323" s="21" t="s">
        <v>413</v>
      </c>
      <c r="F323" s="2">
        <v>1</v>
      </c>
      <c r="G323" s="42" t="s">
        <v>14</v>
      </c>
      <c r="H323" s="3">
        <f>DASHBOARD!$D$35</f>
        <v>24.612000000000002</v>
      </c>
      <c r="I323" s="11">
        <f>DASHBOARD!$D$150*(100/60)*(8/7)</f>
        <v>7.6190476190476186</v>
      </c>
      <c r="J323" s="11">
        <v>1</v>
      </c>
      <c r="K323" s="11">
        <f>D323*I323*J323</f>
        <v>0</v>
      </c>
      <c r="L323" s="4">
        <f>H323*I323*J323*D323</f>
        <v>0</v>
      </c>
      <c r="M323" s="1" t="s">
        <v>50</v>
      </c>
      <c r="N323" s="87" t="s">
        <v>133</v>
      </c>
    </row>
    <row r="324" spans="2:14">
      <c r="B324" s="23"/>
      <c r="D324" s="193" t="s">
        <v>380</v>
      </c>
      <c r="F324" s="133" t="s">
        <v>406</v>
      </c>
      <c r="G324" s="42" t="s">
        <v>31</v>
      </c>
      <c r="H324" s="3">
        <f>DASHBOARD!$D$44</f>
        <v>48</v>
      </c>
      <c r="I324" s="11">
        <f>SUM(I328:I330)*(1/100)</f>
        <v>1.8285714285714287E-2</v>
      </c>
      <c r="J324" s="11">
        <v>1</v>
      </c>
      <c r="K324" s="11">
        <f>D323*I324*J324</f>
        <v>0</v>
      </c>
      <c r="L324" s="4">
        <f>H324*I324*J324*D323</f>
        <v>0</v>
      </c>
      <c r="M324" s="1" t="s">
        <v>136</v>
      </c>
      <c r="N324" s="87" t="s">
        <v>115</v>
      </c>
    </row>
    <row r="325" spans="2:14">
      <c r="B325" s="23"/>
      <c r="D325" s="244"/>
      <c r="F325" s="133" t="s">
        <v>403</v>
      </c>
      <c r="G325" s="42" t="s">
        <v>32</v>
      </c>
      <c r="H325" s="3">
        <f>DASHBOARD!$D$49</f>
        <v>58.847999999999999</v>
      </c>
      <c r="I325" s="11">
        <f>SUM(I328:I330)*(1/10)</f>
        <v>0.18285714285714288</v>
      </c>
      <c r="J325" s="11">
        <v>1</v>
      </c>
      <c r="K325" s="11">
        <f>D323*I325*J325</f>
        <v>0</v>
      </c>
      <c r="L325" s="4">
        <f>H325*I325*J325*D323</f>
        <v>0</v>
      </c>
      <c r="M325" s="1" t="s">
        <v>137</v>
      </c>
      <c r="N325" s="87" t="s">
        <v>134</v>
      </c>
    </row>
    <row r="326" spans="2:14">
      <c r="B326" s="23"/>
      <c r="D326" s="244"/>
      <c r="F326" s="133" t="s">
        <v>404</v>
      </c>
      <c r="G326" s="42" t="s">
        <v>33</v>
      </c>
      <c r="H326" s="3">
        <f>DASHBOARD!$D$50</f>
        <v>39</v>
      </c>
      <c r="I326" s="11">
        <f>SUM(I328:I330)*(1/33)</f>
        <v>5.5411255411255418E-2</v>
      </c>
      <c r="J326" s="11">
        <v>1</v>
      </c>
      <c r="K326" s="11">
        <f>D323*I326*J326</f>
        <v>0</v>
      </c>
      <c r="L326" s="4">
        <f>H326*I326*J326*D323</f>
        <v>0</v>
      </c>
      <c r="M326" s="1" t="s">
        <v>138</v>
      </c>
      <c r="N326" s="87" t="s">
        <v>115</v>
      </c>
    </row>
    <row r="327" spans="2:14">
      <c r="B327" s="23"/>
      <c r="D327" s="244"/>
      <c r="F327" s="133" t="s">
        <v>405</v>
      </c>
      <c r="G327" s="42" t="s">
        <v>34</v>
      </c>
      <c r="H327" s="3">
        <f>DASHBOARD!$D$51</f>
        <v>43.199999999999996</v>
      </c>
      <c r="I327" s="11">
        <f>SUM(I328:I330)*(1/100)</f>
        <v>1.8285714285714287E-2</v>
      </c>
      <c r="J327" s="11">
        <v>1</v>
      </c>
      <c r="K327" s="11">
        <f>D323*I327*J327</f>
        <v>0</v>
      </c>
      <c r="L327" s="4">
        <f>H327*I327*J327*D323</f>
        <v>0</v>
      </c>
      <c r="M327" s="1" t="s">
        <v>136</v>
      </c>
      <c r="N327" s="87" t="s">
        <v>135</v>
      </c>
    </row>
    <row r="328" spans="2:14">
      <c r="B328" s="23"/>
      <c r="D328" s="244"/>
      <c r="F328" s="2" t="s">
        <v>451</v>
      </c>
      <c r="G328" s="42" t="s">
        <v>27</v>
      </c>
      <c r="H328" s="3">
        <f>DASHBOARD!$D$39</f>
        <v>30</v>
      </c>
      <c r="I328" s="11">
        <f>DASHBOARD!$D$117*(100/60)*(8/7)</f>
        <v>0.38095238095238099</v>
      </c>
      <c r="J328" s="11">
        <v>1</v>
      </c>
      <c r="K328" s="11">
        <f>D323*I328*J328</f>
        <v>0</v>
      </c>
      <c r="L328" s="4">
        <f>H328*I328*J328*D323</f>
        <v>0</v>
      </c>
      <c r="M328" s="1" t="s">
        <v>461</v>
      </c>
      <c r="N328" s="88" t="s">
        <v>463</v>
      </c>
    </row>
    <row r="329" spans="2:14" ht="15" customHeight="1">
      <c r="B329" s="23"/>
      <c r="D329" s="244"/>
      <c r="F329" s="2" t="s">
        <v>405</v>
      </c>
      <c r="G329" s="42" t="s">
        <v>27</v>
      </c>
      <c r="H329" s="3">
        <f>DASHBOARD!$D$39</f>
        <v>30</v>
      </c>
      <c r="I329" s="11">
        <f>DASHBOARD!$D$118*(100/60)*(8/7)</f>
        <v>0.59523809523809523</v>
      </c>
      <c r="J329" s="11">
        <v>1</v>
      </c>
      <c r="K329" s="11">
        <f>D323*I329*J329</f>
        <v>0</v>
      </c>
      <c r="L329" s="4">
        <f>H329*I329*J329*D323</f>
        <v>0</v>
      </c>
      <c r="M329" s="72" t="s">
        <v>462</v>
      </c>
      <c r="N329" s="88" t="s">
        <v>464</v>
      </c>
    </row>
    <row r="330" spans="2:14">
      <c r="B330" s="23"/>
      <c r="D330" s="244"/>
      <c r="F330" s="2" t="s">
        <v>453</v>
      </c>
      <c r="G330" s="66" t="s">
        <v>27</v>
      </c>
      <c r="H330" s="3">
        <f>DASHBOARD!$D$39</f>
        <v>30</v>
      </c>
      <c r="I330" s="11">
        <f>DASHBOARD!$D$119*(100/60)*(8/7)</f>
        <v>0.85238095238095235</v>
      </c>
      <c r="J330" s="11">
        <v>1</v>
      </c>
      <c r="K330" s="11">
        <f>D323*I330*J330</f>
        <v>0</v>
      </c>
      <c r="L330" s="4">
        <f>H330*I330*J330*D323</f>
        <v>0</v>
      </c>
      <c r="M330" s="160" t="s">
        <v>402</v>
      </c>
      <c r="N330" s="87" t="s">
        <v>115</v>
      </c>
    </row>
    <row r="331" spans="2:14">
      <c r="B331" s="23"/>
      <c r="D331" s="244"/>
      <c r="G331" s="1" t="s">
        <v>41</v>
      </c>
      <c r="H331" s="3">
        <f>DASHBOARD!$D$57</f>
        <v>3.95</v>
      </c>
      <c r="I331" s="11">
        <v>1</v>
      </c>
      <c r="J331" s="55">
        <f>2*SUM(I328:I330)/8</f>
        <v>0.45714285714285718</v>
      </c>
      <c r="K331" s="55"/>
      <c r="L331" s="4">
        <f>H331*I331*J331*D323</f>
        <v>0</v>
      </c>
      <c r="M331" s="1" t="s">
        <v>139</v>
      </c>
      <c r="N331" s="87" t="s">
        <v>117</v>
      </c>
    </row>
    <row r="332" spans="2:14">
      <c r="B332" s="23"/>
      <c r="D332" s="244"/>
      <c r="G332" s="1" t="s">
        <v>9</v>
      </c>
      <c r="H332" s="3">
        <f>DASHBOARD!$D$58</f>
        <v>13.95</v>
      </c>
      <c r="I332" s="11">
        <v>1</v>
      </c>
      <c r="J332" s="55">
        <f>2*SUM(I328:I330)/8</f>
        <v>0.45714285714285718</v>
      </c>
      <c r="K332" s="55"/>
      <c r="L332" s="4">
        <f>H332*I332*J332*D323</f>
        <v>0</v>
      </c>
      <c r="M332" s="1" t="s">
        <v>139</v>
      </c>
      <c r="N332" s="87" t="s">
        <v>118</v>
      </c>
    </row>
    <row r="333" spans="2:14">
      <c r="B333" s="23"/>
      <c r="D333" s="244"/>
      <c r="G333" s="1" t="s">
        <v>16</v>
      </c>
      <c r="H333" s="3">
        <f>DASHBOARD!$D$59</f>
        <v>0.23960000000000001</v>
      </c>
      <c r="I333" s="11">
        <v>1</v>
      </c>
      <c r="J333" s="55">
        <f>ROUNDUP(I323/8,0)+(ROUNDUP(I328/8,0)+ROUNDUP(I329/8,0)+ROUNDUP(I330/8,0))*(100/DASHBOARD!$D$121)</f>
        <v>7.3829787234042552</v>
      </c>
      <c r="K333" s="55"/>
      <c r="L333" s="4">
        <f>H333*I333*J333*D323</f>
        <v>0</v>
      </c>
      <c r="M333" s="1" t="s">
        <v>140</v>
      </c>
      <c r="N333" s="87" t="s">
        <v>119</v>
      </c>
    </row>
    <row r="334" spans="2:14">
      <c r="B334" s="23"/>
      <c r="D334" s="244"/>
      <c r="G334" s="1" t="s">
        <v>10</v>
      </c>
      <c r="H334" s="3">
        <f>DASHBOARD!$D$60</f>
        <v>1.7004999999999999</v>
      </c>
      <c r="I334" s="11">
        <v>1</v>
      </c>
      <c r="J334" s="55">
        <f>2*SUM(I328:I330)/8</f>
        <v>0.45714285714285718</v>
      </c>
      <c r="K334" s="55"/>
      <c r="L334" s="4">
        <f>H334*I334*J334*D323</f>
        <v>0</v>
      </c>
      <c r="M334" s="1" t="s">
        <v>139</v>
      </c>
      <c r="N334" s="87" t="s">
        <v>119</v>
      </c>
    </row>
    <row r="335" spans="2:14">
      <c r="B335" s="23"/>
      <c r="D335" s="244"/>
      <c r="G335" s="1" t="s">
        <v>414</v>
      </c>
      <c r="H335" s="3">
        <f>DASHBOARD!$D$74</f>
        <v>20</v>
      </c>
      <c r="I335" s="11">
        <v>1</v>
      </c>
      <c r="J335" s="11">
        <v>100</v>
      </c>
      <c r="K335" s="11"/>
      <c r="L335" s="4">
        <f>H335*I335*J335*D323</f>
        <v>0</v>
      </c>
      <c r="M335" s="1" t="s">
        <v>415</v>
      </c>
      <c r="N335" s="87" t="s">
        <v>141</v>
      </c>
    </row>
    <row r="336" spans="2:14" ht="21" customHeight="1" thickBot="1">
      <c r="B336" s="9" t="s">
        <v>7</v>
      </c>
      <c r="C336" s="10"/>
      <c r="D336" s="14"/>
      <c r="E336" s="20"/>
      <c r="F336" s="14"/>
      <c r="G336" s="10"/>
      <c r="H336" s="549" t="s">
        <v>81</v>
      </c>
      <c r="I336" s="549"/>
      <c r="J336" s="549"/>
      <c r="K336" s="243"/>
      <c r="L336" s="70">
        <f>(D239*F239*SUM(L239:L252))+(D239*F253*SUM(L253:L266))+(D267*E273*F267*SUM(L267:L280))+(D267*E273*F281*SUM(L281:L294))+(D267*E301*F295*SUM(L295:L308))+(D267*E301*F309*SUM(L309:L322))+SUM(L323:L335)</f>
        <v>1990.0475863971051</v>
      </c>
      <c r="M336" s="69" t="str">
        <f>"Per Person Cost is "&amp;ROUND(L336/100,2)&amp;" and the cost per "&amp;$C$4&amp;" people is "&amp;ROUND(L336/100*$C$4,2)</f>
        <v>Per Person Cost is 19.9 and the cost per 338179 people is 6729923.03</v>
      </c>
    </row>
    <row r="337" spans="2:14" ht="22.35" customHeight="1">
      <c r="B337" s="24" t="s">
        <v>26</v>
      </c>
      <c r="C337" s="26">
        <f>C4</f>
        <v>338179</v>
      </c>
      <c r="D337" s="2">
        <f>1*DASHBOARD!$D$139</f>
        <v>1</v>
      </c>
      <c r="E337" s="21">
        <v>1</v>
      </c>
      <c r="F337" s="2">
        <f>1-C8</f>
        <v>0.99948999999999999</v>
      </c>
      <c r="G337" s="42" t="s">
        <v>14</v>
      </c>
      <c r="H337" s="3">
        <f>DASHBOARD!D35</f>
        <v>24.612000000000002</v>
      </c>
      <c r="I337" s="32">
        <f>(DASHBOARD!$D$155*100/60)*(8/7)*DASHBOARD!$D$131</f>
        <v>1.9047619047619047</v>
      </c>
      <c r="J337" s="1">
        <v>1</v>
      </c>
      <c r="K337" s="1">
        <f>F337*I337*J337</f>
        <v>1.903790476190476</v>
      </c>
      <c r="L337" s="4">
        <f>H337*I337*J337</f>
        <v>46.88</v>
      </c>
      <c r="M337" s="1" t="s">
        <v>79</v>
      </c>
      <c r="N337" s="87" t="s">
        <v>133</v>
      </c>
    </row>
    <row r="338" spans="2:14" ht="22.35" customHeight="1">
      <c r="B338" s="24"/>
      <c r="C338" s="26"/>
      <c r="F338" s="2" t="s">
        <v>457</v>
      </c>
      <c r="G338" s="42" t="s">
        <v>17</v>
      </c>
      <c r="H338" s="3">
        <f>DASHBOARD!D36</f>
        <v>45.12</v>
      </c>
      <c r="I338" s="32">
        <f>I337/5</f>
        <v>0.38095238095238093</v>
      </c>
      <c r="J338" s="1">
        <v>1</v>
      </c>
      <c r="K338" s="1">
        <f>F337*I338*J338</f>
        <v>0.38075809523809523</v>
      </c>
      <c r="L338" s="4">
        <f>H338*I338*J338</f>
        <v>17.188571428571425</v>
      </c>
      <c r="N338" s="87" t="s">
        <v>112</v>
      </c>
    </row>
    <row r="339" spans="2:14">
      <c r="B339" s="24"/>
      <c r="F339" s="2">
        <f>C8</f>
        <v>5.1000000000000004E-4</v>
      </c>
      <c r="G339" s="42" t="s">
        <v>17</v>
      </c>
      <c r="H339" s="3">
        <f>DASHBOARD!D36</f>
        <v>45.12</v>
      </c>
      <c r="I339" s="32">
        <v>8</v>
      </c>
      <c r="J339" s="1">
        <f>(DASHBOARD!$D$157*100/480)*(8/7)</f>
        <v>4.7619047619047619</v>
      </c>
      <c r="K339" s="1">
        <f>F339*I339*J339</f>
        <v>1.942857142857143E-2</v>
      </c>
      <c r="L339" s="4">
        <f>H339*I339*J339</f>
        <v>1718.8571428571427</v>
      </c>
      <c r="M339" s="1" t="s">
        <v>96</v>
      </c>
      <c r="N339" s="87" t="s">
        <v>112</v>
      </c>
    </row>
    <row r="340" spans="2:14" ht="16.350000000000001" customHeight="1" thickBot="1">
      <c r="B340" s="9" t="s">
        <v>7</v>
      </c>
      <c r="C340" s="10"/>
      <c r="D340" s="14"/>
      <c r="E340" s="20"/>
      <c r="F340" s="14"/>
      <c r="G340" s="10"/>
      <c r="H340" s="549" t="s">
        <v>81</v>
      </c>
      <c r="I340" s="549"/>
      <c r="J340" s="549"/>
      <c r="K340" s="243"/>
      <c r="L340" s="70">
        <f>(D337*F337*SUM(L337:L338))+(D337*F339*L339)</f>
        <v>64.912513599999997</v>
      </c>
      <c r="M340" s="69" t="str">
        <f>"Per Person Cost is "&amp;ROUND(L340/100,2)&amp;" and the cost per "&amp;$C$4&amp;" people is "&amp;ROUND(L340/100*$C$4,2)</f>
        <v>Per Person Cost is 0.65 and the cost per 338179 people is 219520.49</v>
      </c>
    </row>
    <row r="341" spans="2:14">
      <c r="B341" s="25" t="s">
        <v>173</v>
      </c>
      <c r="C341" s="26">
        <f>C4</f>
        <v>338179</v>
      </c>
      <c r="D341" s="92">
        <f>(C5/C4)*DASHBOARD!$D$139</f>
        <v>0.82045770309591837</v>
      </c>
      <c r="E341" s="21">
        <v>1</v>
      </c>
      <c r="F341" s="2">
        <f>1-C8</f>
        <v>0.99948999999999999</v>
      </c>
      <c r="G341" s="1" t="s">
        <v>30</v>
      </c>
      <c r="H341" s="3">
        <v>0</v>
      </c>
      <c r="I341" s="32">
        <v>0</v>
      </c>
      <c r="J341" s="1">
        <v>0</v>
      </c>
      <c r="L341" s="4">
        <f>H341*I341*J341</f>
        <v>0</v>
      </c>
    </row>
    <row r="342" spans="2:14" ht="22.35" customHeight="1">
      <c r="B342" s="25"/>
      <c r="F342" s="2">
        <f>C8</f>
        <v>5.1000000000000004E-4</v>
      </c>
      <c r="G342" s="42" t="s">
        <v>17</v>
      </c>
      <c r="H342" s="3">
        <f>DASHBOARD!$D$36</f>
        <v>45.12</v>
      </c>
      <c r="I342" s="32">
        <f>8*DASHBOARD!$D$133</f>
        <v>8</v>
      </c>
      <c r="J342" s="1">
        <f>DASHBOARD!$D$158*100/480</f>
        <v>12.5</v>
      </c>
      <c r="K342" s="1">
        <f>$D$341*$F$342*I342*J342</f>
        <v>4.184334285789184E-2</v>
      </c>
      <c r="L342" s="4">
        <f>H342*I342*J342</f>
        <v>4512</v>
      </c>
      <c r="M342" s="1" t="s">
        <v>298</v>
      </c>
      <c r="N342" s="87" t="s">
        <v>112</v>
      </c>
    </row>
    <row r="343" spans="2:14" ht="33" customHeight="1">
      <c r="B343" s="25"/>
      <c r="D343" s="137">
        <v>0</v>
      </c>
      <c r="G343" s="42" t="s">
        <v>14</v>
      </c>
      <c r="H343" s="3">
        <f>DASHBOARD!$D$35</f>
        <v>24.612000000000002</v>
      </c>
      <c r="I343" s="32">
        <f>8*DASHBOARD!$D$133</f>
        <v>8</v>
      </c>
      <c r="J343" s="1">
        <f>(DASHBOARD!$D$159*100/480)*DASHBOARD!$D$105/5</f>
        <v>22.847999999999999</v>
      </c>
      <c r="K343" s="1">
        <f t="shared" ref="K343:K348" si="15">$D$341*$F$342*I343*J343</f>
        <v>7.6482935809369018E-2</v>
      </c>
      <c r="L343" s="4">
        <f>H343*I343*J343</f>
        <v>4498.6798079999999</v>
      </c>
      <c r="M343" s="1" t="s">
        <v>309</v>
      </c>
      <c r="N343" s="87"/>
    </row>
    <row r="344" spans="2:14" ht="33" customHeight="1">
      <c r="B344" s="25" t="s">
        <v>205</v>
      </c>
      <c r="D344" s="254" t="s">
        <v>496</v>
      </c>
      <c r="F344" s="2" t="s">
        <v>454</v>
      </c>
      <c r="G344" s="132" t="s">
        <v>473</v>
      </c>
      <c r="H344" s="3">
        <f>DASHBOARD!$D$52</f>
        <v>48</v>
      </c>
      <c r="I344" s="32">
        <v>8</v>
      </c>
      <c r="J344" s="11">
        <f>SUM(J342:J343)/5.5</f>
        <v>6.4269090909090911</v>
      </c>
      <c r="K344" s="1">
        <f t="shared" si="15"/>
        <v>2.1513868848592885E-2</v>
      </c>
      <c r="L344" s="4">
        <f>H344*I344*J344</f>
        <v>2467.9330909090909</v>
      </c>
      <c r="M344" s="1" t="s">
        <v>300</v>
      </c>
      <c r="N344" s="87"/>
    </row>
    <row r="345" spans="2:14" ht="33" customHeight="1">
      <c r="B345" s="25"/>
      <c r="F345" s="2" t="s">
        <v>455</v>
      </c>
      <c r="G345" s="132" t="s">
        <v>180</v>
      </c>
      <c r="H345" s="3">
        <f>DASHBOARD!$D$53</f>
        <v>121.78799999999998</v>
      </c>
      <c r="I345" s="32">
        <v>8</v>
      </c>
      <c r="J345" s="11">
        <f>SUM(J342:J343)/27.5</f>
        <v>1.2853818181818182</v>
      </c>
      <c r="K345" s="1">
        <f t="shared" si="15"/>
        <v>4.3027737697185764E-3</v>
      </c>
      <c r="L345" s="4">
        <f t="shared" ref="L345:L348" si="16">H345*I345*J345</f>
        <v>1252.352646981818</v>
      </c>
      <c r="M345" s="1" t="s">
        <v>308</v>
      </c>
      <c r="N345" s="87"/>
    </row>
    <row r="346" spans="2:14" ht="33" customHeight="1">
      <c r="B346" s="25"/>
      <c r="F346" s="2" t="s">
        <v>455</v>
      </c>
      <c r="G346" s="132" t="s">
        <v>40</v>
      </c>
      <c r="H346" s="3">
        <f>DASHBOARD!$D$45</f>
        <v>54.804000000000002</v>
      </c>
      <c r="I346" s="1">
        <v>8</v>
      </c>
      <c r="J346" s="11">
        <f>SUM(J342:J343)/27.5</f>
        <v>1.2853818181818182</v>
      </c>
      <c r="K346" s="1">
        <f t="shared" si="15"/>
        <v>4.3027737697185764E-3</v>
      </c>
      <c r="L346" s="4">
        <f t="shared" si="16"/>
        <v>563.55252130909093</v>
      </c>
      <c r="M346" s="1" t="s">
        <v>302</v>
      </c>
      <c r="N346" s="87" t="s">
        <v>112</v>
      </c>
    </row>
    <row r="347" spans="2:14" ht="33" customHeight="1">
      <c r="B347" s="25"/>
      <c r="G347" s="132" t="s">
        <v>353</v>
      </c>
      <c r="H347" s="3">
        <f>DASHBOARD!$D$54</f>
        <v>60</v>
      </c>
      <c r="I347" s="1">
        <v>8</v>
      </c>
      <c r="J347" s="11">
        <f>SUM(J342:J343)/9.167*DASHBOARD!$D$130</f>
        <v>3.85600523617323</v>
      </c>
      <c r="K347" s="1">
        <f t="shared" si="15"/>
        <v>1.2907851932721813E-2</v>
      </c>
      <c r="L347" s="4">
        <f t="shared" si="16"/>
        <v>1850.8825133631503</v>
      </c>
      <c r="M347" s="1" t="s">
        <v>305</v>
      </c>
      <c r="N347" s="87"/>
    </row>
    <row r="348" spans="2:14" ht="33" customHeight="1">
      <c r="B348" s="25"/>
      <c r="F348" s="2" t="s">
        <v>456</v>
      </c>
      <c r="G348" s="42" t="s">
        <v>14</v>
      </c>
      <c r="H348" s="3">
        <f>DASHBOARD!$D$35</f>
        <v>24.612000000000002</v>
      </c>
      <c r="I348" s="32">
        <v>8</v>
      </c>
      <c r="J348" s="11">
        <f>SUM(J342:J343)/2.2*DASHBOARD!$D$129</f>
        <v>16.067272727272726</v>
      </c>
      <c r="K348" s="1">
        <f t="shared" si="15"/>
        <v>5.3784672121482205E-2</v>
      </c>
      <c r="L348" s="4">
        <f t="shared" si="16"/>
        <v>3163.5817309090912</v>
      </c>
      <c r="M348" s="1" t="s">
        <v>310</v>
      </c>
      <c r="N348" s="87"/>
    </row>
    <row r="349" spans="2:14" ht="33" customHeight="1">
      <c r="B349" s="25" t="s">
        <v>206</v>
      </c>
      <c r="G349" s="42" t="s">
        <v>109</v>
      </c>
      <c r="L349" s="4">
        <f>(L340+L336+L238+L223)*(C6+2)*D343</f>
        <v>0</v>
      </c>
      <c r="M349" s="1" t="s">
        <v>108</v>
      </c>
      <c r="N349" s="3"/>
    </row>
    <row r="350" spans="2:14" ht="47.25">
      <c r="B350" s="25"/>
      <c r="G350" s="42" t="s">
        <v>204</v>
      </c>
      <c r="L350" s="4">
        <f>'Expanded Contact Investigaton'!L285*C6*0</f>
        <v>0</v>
      </c>
      <c r="M350" s="1" t="s">
        <v>207</v>
      </c>
      <c r="N350" s="3"/>
    </row>
    <row r="351" spans="2:14">
      <c r="B351" s="25"/>
      <c r="D351" s="92">
        <f>(1-(C5/C4))*DASHBOARD!$D$139</f>
        <v>0.17954229690408163</v>
      </c>
      <c r="E351" s="21">
        <v>2</v>
      </c>
      <c r="F351" s="2">
        <f>1-C8</f>
        <v>0.99948999999999999</v>
      </c>
      <c r="G351" s="1" t="s">
        <v>30</v>
      </c>
      <c r="H351" s="3">
        <v>0</v>
      </c>
      <c r="I351" s="32">
        <v>0</v>
      </c>
      <c r="J351" s="1">
        <v>0</v>
      </c>
      <c r="L351" s="4">
        <f>H351*I351*J351</f>
        <v>0</v>
      </c>
    </row>
    <row r="352" spans="2:14" ht="47.25">
      <c r="B352" s="25"/>
      <c r="F352" s="2">
        <f>C8</f>
        <v>5.1000000000000004E-4</v>
      </c>
      <c r="G352" s="42" t="s">
        <v>17</v>
      </c>
      <c r="H352" s="3">
        <f>DASHBOARD!$D$36</f>
        <v>45.12</v>
      </c>
      <c r="I352" s="32">
        <v>8</v>
      </c>
      <c r="J352" s="1">
        <f>DASHBOARD!$D$158*100/480</f>
        <v>12.5</v>
      </c>
      <c r="K352" s="1">
        <f>$D$351*$F$352*I352*J352</f>
        <v>9.1566571421081641E-3</v>
      </c>
      <c r="L352" s="4">
        <f>H352*I352*J352</f>
        <v>4512</v>
      </c>
      <c r="M352" s="1" t="s">
        <v>298</v>
      </c>
      <c r="N352" s="87" t="s">
        <v>112</v>
      </c>
    </row>
    <row r="353" spans="2:14" ht="78.75">
      <c r="B353" s="25"/>
      <c r="D353" s="137">
        <v>0</v>
      </c>
      <c r="G353" s="42" t="s">
        <v>14</v>
      </c>
      <c r="H353" s="3">
        <f>DASHBOARD!$D$35</f>
        <v>24.612000000000002</v>
      </c>
      <c r="I353" s="32">
        <v>8</v>
      </c>
      <c r="J353" s="1">
        <f>(DASHBOARD!$D$159*100/480)*DASHBOARD!$D$105/5</f>
        <v>22.847999999999999</v>
      </c>
      <c r="K353" s="1">
        <f t="shared" ref="K353:K358" si="17">$D$351*$F$352*I353*J353</f>
        <v>1.6736904190630987E-2</v>
      </c>
      <c r="L353" s="4">
        <f>H353*I353*J353</f>
        <v>4498.6798079999999</v>
      </c>
      <c r="M353" s="1" t="s">
        <v>309</v>
      </c>
      <c r="N353" s="87" t="s">
        <v>133</v>
      </c>
    </row>
    <row r="354" spans="2:14" ht="31.5">
      <c r="B354" s="25"/>
      <c r="D354" s="254" t="s">
        <v>496</v>
      </c>
      <c r="F354" s="2" t="s">
        <v>454</v>
      </c>
      <c r="G354" s="132" t="s">
        <v>473</v>
      </c>
      <c r="H354" s="3">
        <f>DASHBOARD!$D$52</f>
        <v>48</v>
      </c>
      <c r="I354" s="32">
        <v>8</v>
      </c>
      <c r="J354" s="11">
        <f>SUM(J352:J353)/5.5</f>
        <v>6.4269090909090911</v>
      </c>
      <c r="K354" s="1">
        <f t="shared" si="17"/>
        <v>4.7079202423162096E-3</v>
      </c>
      <c r="L354" s="4">
        <f>H354*I354*J354</f>
        <v>2467.9330909090909</v>
      </c>
      <c r="M354" s="1" t="s">
        <v>300</v>
      </c>
      <c r="N354" s="87" t="s">
        <v>112</v>
      </c>
    </row>
    <row r="355" spans="2:14">
      <c r="B355" s="25"/>
      <c r="F355" s="2" t="s">
        <v>455</v>
      </c>
      <c r="G355" s="132" t="s">
        <v>180</v>
      </c>
      <c r="H355" s="3">
        <f>DASHBOARD!$D$53</f>
        <v>121.78799999999998</v>
      </c>
      <c r="I355" s="32">
        <v>8</v>
      </c>
      <c r="J355" s="11">
        <f>SUM(J352:J353)/27.5</f>
        <v>1.2853818181818182</v>
      </c>
      <c r="K355" s="1">
        <f t="shared" si="17"/>
        <v>9.4158404846324186E-4</v>
      </c>
      <c r="L355" s="4">
        <f t="shared" ref="L355:L358" si="18">H355*I355*J355</f>
        <v>1252.352646981818</v>
      </c>
      <c r="M355" s="1" t="s">
        <v>308</v>
      </c>
      <c r="N355" s="87"/>
    </row>
    <row r="356" spans="2:14">
      <c r="B356" s="25"/>
      <c r="F356" s="2" t="s">
        <v>455</v>
      </c>
      <c r="G356" s="132" t="s">
        <v>40</v>
      </c>
      <c r="H356" s="3">
        <f>DASHBOARD!$D$45</f>
        <v>54.804000000000002</v>
      </c>
      <c r="I356" s="1">
        <v>8</v>
      </c>
      <c r="J356" s="11">
        <f>SUM(J352:J353)/27.5</f>
        <v>1.2853818181818182</v>
      </c>
      <c r="K356" s="1">
        <f t="shared" si="17"/>
        <v>9.4158404846324186E-4</v>
      </c>
      <c r="L356" s="4">
        <f t="shared" si="18"/>
        <v>563.55252130909093</v>
      </c>
      <c r="M356" s="1" t="s">
        <v>302</v>
      </c>
      <c r="N356" s="87"/>
    </row>
    <row r="357" spans="2:14">
      <c r="B357" s="25"/>
      <c r="G357" s="132" t="s">
        <v>353</v>
      </c>
      <c r="H357" s="3">
        <f>DASHBOARD!$D$54</f>
        <v>60</v>
      </c>
      <c r="I357" s="1">
        <v>8</v>
      </c>
      <c r="J357" s="11">
        <f>SUM(J352:J353)/9.167*DASHBOARD!$D$130</f>
        <v>3.85600523617323</v>
      </c>
      <c r="K357" s="1">
        <f t="shared" si="17"/>
        <v>2.8246494308649668E-3</v>
      </c>
      <c r="L357" s="4">
        <f t="shared" si="18"/>
        <v>1850.8825133631503</v>
      </c>
      <c r="M357" s="1" t="s">
        <v>305</v>
      </c>
      <c r="N357" s="87"/>
    </row>
    <row r="358" spans="2:14" ht="63">
      <c r="B358" s="25"/>
      <c r="F358" s="2" t="s">
        <v>456</v>
      </c>
      <c r="G358" s="42" t="s">
        <v>14</v>
      </c>
      <c r="H358" s="3">
        <f>DASHBOARD!$D$35</f>
        <v>24.612000000000002</v>
      </c>
      <c r="I358" s="32">
        <v>8</v>
      </c>
      <c r="J358" s="11">
        <f>SUM(J352:J353)/2.2*DASHBOARD!$D$129</f>
        <v>16.067272727272726</v>
      </c>
      <c r="K358" s="1">
        <f t="shared" si="17"/>
        <v>1.1769800605790522E-2</v>
      </c>
      <c r="L358" s="4">
        <f t="shared" si="18"/>
        <v>3163.5817309090912</v>
      </c>
      <c r="M358" s="1" t="s">
        <v>310</v>
      </c>
      <c r="N358" s="87"/>
    </row>
    <row r="359" spans="2:14" ht="31.5">
      <c r="B359" s="25"/>
      <c r="G359" s="42" t="s">
        <v>109</v>
      </c>
      <c r="L359" s="4">
        <f>(L340+L336+L238+L223)*(C6*0.4+2)*D353</f>
        <v>0</v>
      </c>
      <c r="M359" s="53" t="s">
        <v>208</v>
      </c>
      <c r="N359" s="3"/>
    </row>
    <row r="360" spans="2:14" ht="47.25">
      <c r="B360" s="25"/>
      <c r="G360" s="42" t="s">
        <v>204</v>
      </c>
      <c r="L360" s="4">
        <f>'Expanded Contact Investigaton'!L285*(C6*1.6)*0</f>
        <v>0</v>
      </c>
      <c r="M360" s="1" t="s">
        <v>209</v>
      </c>
      <c r="N360" s="3"/>
    </row>
    <row r="361" spans="2:14" ht="23.1" customHeight="1" thickBot="1">
      <c r="B361" s="9" t="s">
        <v>7</v>
      </c>
      <c r="C361" s="10"/>
      <c r="D361" s="14"/>
      <c r="E361" s="20"/>
      <c r="F361" s="14"/>
      <c r="G361" s="10"/>
      <c r="H361" s="549" t="s">
        <v>81</v>
      </c>
      <c r="I361" s="549"/>
      <c r="J361" s="549"/>
      <c r="K361" s="243"/>
      <c r="L361" s="70">
        <f>((C341*D341*F341*L341)+(C341*D341*F342*SUM(L342:L350))+(C341*D351*F351*L351)+(C341*D351*F352*SUM(L352:L360)))/100/C341*100</f>
        <v>9.3375809788508448</v>
      </c>
      <c r="M361" s="69" t="str">
        <f>"Per Person Cost is "&amp;ROUND(L361/100,2)&amp;" and the cost per "&amp;$C$4&amp;" people is "&amp;ROUND(L361/100*$C$4,2)</f>
        <v>Per Person Cost is 0.09 and the cost per 338179 people is 31577.74</v>
      </c>
    </row>
    <row r="362" spans="2:14" ht="19.5" thickBot="1">
      <c r="B362" s="62" t="s">
        <v>53</v>
      </c>
      <c r="C362" s="63">
        <v>100</v>
      </c>
      <c r="D362" s="64" t="s">
        <v>54</v>
      </c>
      <c r="E362" s="59"/>
      <c r="F362" s="58"/>
      <c r="G362" s="57"/>
      <c r="H362" s="60"/>
      <c r="I362" s="61"/>
      <c r="J362" s="57"/>
      <c r="K362" s="57"/>
      <c r="L362" s="65">
        <f>SUM(L22,L223,L238,L336,L340,L361)</f>
        <v>12715.10879394812</v>
      </c>
      <c r="M362" s="69" t="str">
        <f>"Per Person Cost is "&amp;ROUND(L362/100,2)&amp;" and the cost per "&amp;$C$4&amp;" people is "&amp;ROUND(L362/100*$C$4,2)</f>
        <v>Per Person Cost is 127.15 and the cost per 338179 people is 42999827.77</v>
      </c>
    </row>
    <row r="365" spans="2:14" ht="21">
      <c r="B365" s="550" t="s">
        <v>56</v>
      </c>
      <c r="C365" s="550"/>
    </row>
    <row r="366" spans="2:14">
      <c r="B366" s="68" t="s">
        <v>57</v>
      </c>
      <c r="C366" s="68" t="s">
        <v>92</v>
      </c>
    </row>
    <row r="367" spans="2:14">
      <c r="B367" s="68" t="s">
        <v>60</v>
      </c>
      <c r="C367" s="68" t="s">
        <v>93</v>
      </c>
    </row>
    <row r="368" spans="2:14">
      <c r="B368" s="68"/>
      <c r="C368" s="68" t="s">
        <v>73</v>
      </c>
    </row>
    <row r="369" spans="2:3">
      <c r="B369" s="68" t="s">
        <v>65</v>
      </c>
      <c r="C369" s="68" t="s">
        <v>66</v>
      </c>
    </row>
    <row r="370" spans="2:3">
      <c r="B370" s="68"/>
      <c r="C370" s="68" t="s">
        <v>67</v>
      </c>
    </row>
    <row r="371" spans="2:3">
      <c r="B371" s="68" t="s">
        <v>68</v>
      </c>
      <c r="C371" s="68" t="s">
        <v>69</v>
      </c>
    </row>
    <row r="372" spans="2:3">
      <c r="B372" s="68"/>
      <c r="C372" s="68" t="s">
        <v>70</v>
      </c>
    </row>
    <row r="373" spans="2:3">
      <c r="B373" s="68"/>
      <c r="C373" s="68" t="s">
        <v>94</v>
      </c>
    </row>
    <row r="374" spans="2:3">
      <c r="B374" s="68"/>
      <c r="C374" s="68" t="s">
        <v>95</v>
      </c>
    </row>
    <row r="375" spans="2:3">
      <c r="B375" s="68" t="s">
        <v>71</v>
      </c>
      <c r="C375" s="68" t="s">
        <v>61</v>
      </c>
    </row>
    <row r="376" spans="2:3">
      <c r="B376" s="68"/>
      <c r="C376" s="68" t="s">
        <v>58</v>
      </c>
    </row>
    <row r="377" spans="2:3">
      <c r="B377" s="68" t="s">
        <v>72</v>
      </c>
      <c r="C377" s="68" t="s">
        <v>61</v>
      </c>
    </row>
    <row r="378" spans="2:3">
      <c r="B378" s="68"/>
      <c r="C378" s="68" t="s">
        <v>58</v>
      </c>
    </row>
  </sheetData>
  <sheetProtection algorithmName="SHA-512" hashValue="wqPdi0zLu3qhpL2yOWurN1rFhtcpMaRODEKnOTQ0uv4RbKnoev6W0d+rHAyAlK3wSqrKAyXNd2G3Ma5wGATstg==" saltValue="sc0EI5fBUAv9NAAo6zbfGA==" spinCount="100000" sheet="1" objects="1" scenarios="1"/>
  <autoFilter ref="B16:N362" xr:uid="{A562D00A-22CF-3D47-92A9-1AF11AFFC169}"/>
  <mergeCells count="9">
    <mergeCell ref="H340:J340"/>
    <mergeCell ref="H361:J361"/>
    <mergeCell ref="B365:C365"/>
    <mergeCell ref="B2:H2"/>
    <mergeCell ref="H22:J22"/>
    <mergeCell ref="H223:J223"/>
    <mergeCell ref="H238:J238"/>
    <mergeCell ref="H336:J336"/>
    <mergeCell ref="G4:M4"/>
  </mergeCells>
  <hyperlinks>
    <hyperlink ref="N17" r:id="rId1" xr:uid="{79B7E9E6-7045-41D3-B8A0-81C209BDD84D}"/>
    <hyperlink ref="N32" r:id="rId2" location="srp" xr:uid="{0DFC1248-3681-4851-BED7-4E320EB74D5C}"/>
    <hyperlink ref="N31" r:id="rId3" location="srp" xr:uid="{C5F98577-9D9A-4BA1-8AE0-A89BC88FFAC5}"/>
    <hyperlink ref="N30" r:id="rId4" xr:uid="{7E7DEED2-AEEA-4F4B-91FF-CB2F7B4C7E42}"/>
    <hyperlink ref="N29" r:id="rId5" xr:uid="{273B480A-87C1-405C-B3A9-08893C0D16D7}"/>
    <hyperlink ref="N28" r:id="rId6" xr:uid="{AB8D3CA1-3969-4543-92D8-DAF8C5DDAEDF}"/>
    <hyperlink ref="N224" r:id="rId7" location="ListeFonctPrinc" xr:uid="{35E2801E-DAAB-4AA5-89BC-5F8F18712442}"/>
    <hyperlink ref="N225" r:id="rId8" display="https://www.caaquebec.com/en/on-the-road/public-interest/gasoline-matters/gasoline-watch/" xr:uid="{A13B9649-9FA4-443F-809E-54F18EEF061C}"/>
    <hyperlink ref="N228" r:id="rId9" xr:uid="{E0C72024-18A6-4AEB-BAE5-29BA9FF74A2D}"/>
    <hyperlink ref="N227" r:id="rId10" xr:uid="{80583A33-AA0C-4841-88E2-4F34004CCCC6}"/>
    <hyperlink ref="N239" r:id="rId11" xr:uid="{487B9F39-7DD4-443E-A751-91C2F8EFF6D8}"/>
    <hyperlink ref="N240" r:id="rId12" xr:uid="{5862ECA1-A425-4D15-AFA5-86C08D1CFAD5}"/>
    <hyperlink ref="N242" r:id="rId13" xr:uid="{E7B59A1C-7A4A-4B93-ABCD-9E2C7E2C519E}"/>
    <hyperlink ref="N244" r:id="rId14" xr:uid="{64B4F329-B162-4B6C-9A37-C9AF63BFDAA4}"/>
    <hyperlink ref="N245" r:id="rId15" xr:uid="{9F67E3BF-4D67-4275-84BD-11D24F78913E}"/>
    <hyperlink ref="N246" r:id="rId16" xr:uid="{A913E6EC-4349-4653-ADCD-F8826CC64DF8}"/>
    <hyperlink ref="N241" r:id="rId17" xr:uid="{2930A6AE-C195-48BF-8E15-B482140EBD7C}"/>
    <hyperlink ref="N243" r:id="rId18" xr:uid="{8038CA77-EF85-494C-A9D2-BEC3B38041A5}"/>
    <hyperlink ref="N250" r:id="rId19" location="srp" xr:uid="{792FB1A1-7CCC-4CB4-96F9-2C784ECEE1E3}"/>
    <hyperlink ref="N249" r:id="rId20" location="srp" xr:uid="{77514722-0934-4970-817D-EE088318234B}"/>
    <hyperlink ref="N248" r:id="rId21" xr:uid="{458EB929-B651-4234-A5C9-18414DEF2909}"/>
    <hyperlink ref="N247" r:id="rId22" xr:uid="{6C7EFD1E-19D2-4BA9-AFF1-67CFC540DE02}"/>
    <hyperlink ref="N251" r:id="rId23" xr:uid="{7AB79834-6A81-43BE-8D53-D8BE8834ACA1}"/>
    <hyperlink ref="N252" r:id="rId24" xr:uid="{E7EB6FF4-34DE-4B63-86CE-521E0D3BF439}"/>
    <hyperlink ref="N253" r:id="rId25" xr:uid="{9C94CE13-2210-42E6-AC01-81332434C8D6}"/>
    <hyperlink ref="N254" r:id="rId26" xr:uid="{B8FA9507-2A86-47BF-9D33-49590FD569DA}"/>
    <hyperlink ref="N256" r:id="rId27" xr:uid="{75DBC532-6A8D-40BF-806C-051668619B3E}"/>
    <hyperlink ref="N258" r:id="rId28" xr:uid="{9A525C13-68E1-44C8-A472-3418219F85CC}"/>
    <hyperlink ref="N259" r:id="rId29" xr:uid="{2CA667BD-DA5D-41A2-A72C-ED38C0D05C83}"/>
    <hyperlink ref="N260" r:id="rId30" xr:uid="{B63E04BD-CECD-4679-B662-2046F0EB0B8C}"/>
    <hyperlink ref="N255" r:id="rId31" xr:uid="{5DF5A0E3-2787-4621-ACF2-77AD143AE4E0}"/>
    <hyperlink ref="N257" r:id="rId32" xr:uid="{7540BA41-D3DA-4D70-AA63-157F8B388FF3}"/>
    <hyperlink ref="N264" r:id="rId33" location="srp" xr:uid="{D3FE3604-5084-4CA3-8166-5ECAE99C78EF}"/>
    <hyperlink ref="N263" r:id="rId34" location="srp" xr:uid="{4D119E7B-3D6A-4B32-8FCB-42DE9D5E1A76}"/>
    <hyperlink ref="N262" r:id="rId35" xr:uid="{0D0B279B-97A4-47F3-878A-D95BB5E1FEBD}"/>
    <hyperlink ref="N261" r:id="rId36" xr:uid="{9D788598-7DE2-4602-B3B3-87B44369B769}"/>
    <hyperlink ref="N265" r:id="rId37" xr:uid="{26EF2BF8-8BF3-4A26-90D2-405696D29CD8}"/>
    <hyperlink ref="N266" r:id="rId38" xr:uid="{CECCB019-704D-4CC4-8984-39623819EE6A}"/>
    <hyperlink ref="N337" r:id="rId39" xr:uid="{B1758707-D600-4BFB-B3B4-428C38B65241}"/>
    <hyperlink ref="N338" r:id="rId40" xr:uid="{2748DA81-0E1E-4A04-BDC2-2E5824A58FC9}"/>
    <hyperlink ref="N339" r:id="rId41" xr:uid="{4BF53BB5-F97E-482B-B235-90A1289E63B2}"/>
    <hyperlink ref="N117" r:id="rId42" xr:uid="{08CE6D49-3A84-4A5C-BBBA-45081E949C62}"/>
    <hyperlink ref="N118" r:id="rId43" xr:uid="{237CE6A4-016F-432E-8FCC-6DCBDA437B3F}"/>
    <hyperlink ref="N119" r:id="rId44" xr:uid="{86CB9ACD-8C75-45CB-8000-047CC40D6558}"/>
    <hyperlink ref="N120" r:id="rId45" xr:uid="{21416A00-8EBE-486C-BDD4-19B8CB141027}"/>
    <hyperlink ref="N121" r:id="rId46" xr:uid="{AF39E68D-C46C-4B6E-BC71-8CFA320D2368}"/>
    <hyperlink ref="N127" r:id="rId47" location="srp" xr:uid="{CE797F5C-1B48-4B3D-A11B-FD6377B6B719}"/>
    <hyperlink ref="N126" r:id="rId48" location="srp" xr:uid="{0FD6F3EC-A9FC-4F31-A1C2-203E6BEB05DF}"/>
    <hyperlink ref="N125" r:id="rId49" xr:uid="{C24B17A9-08DA-4468-986B-1233879ADEE4}"/>
    <hyperlink ref="N124" r:id="rId50" xr:uid="{73811A9B-25B0-473E-9E33-B854AA055538}"/>
    <hyperlink ref="N123" r:id="rId51" xr:uid="{823DB1C7-EA3D-4B20-9D79-1B6CFDED9805}"/>
    <hyperlink ref="N143" r:id="rId52" xr:uid="{37FA113F-1C8B-464C-BE12-548C107C1DEE}"/>
    <hyperlink ref="N144" r:id="rId53" xr:uid="{A69509B8-BACD-4B35-8209-79191A1ADEC9}"/>
    <hyperlink ref="N145" r:id="rId54" xr:uid="{9477C03C-1543-4D01-9816-74CBF82C9438}"/>
    <hyperlink ref="N146" r:id="rId55" xr:uid="{17AB4FBB-6B92-46E4-A3A9-1249828C5F0F}"/>
    <hyperlink ref="N147" r:id="rId56" xr:uid="{8BDFD294-F63F-4690-9D1F-B96D3AAB70C7}"/>
    <hyperlink ref="N153" r:id="rId57" location="srp" xr:uid="{899FD1FE-5481-47D1-96B3-45EE15C41F66}"/>
    <hyperlink ref="N152" r:id="rId58" location="srp" xr:uid="{49D8E6CB-04BD-4D23-B6C2-2DB3B12EBC75}"/>
    <hyperlink ref="N151" r:id="rId59" xr:uid="{F1F23998-A796-4774-B4DC-E61B60895F28}"/>
    <hyperlink ref="N150" r:id="rId60" xr:uid="{0B27828F-CB66-4F13-89C6-70C28AD70332}"/>
    <hyperlink ref="N149" r:id="rId61" xr:uid="{AB6FE8B4-9485-4F76-830A-F684C05248AD}"/>
    <hyperlink ref="N231" r:id="rId62" location="ListeFonctPrinc" xr:uid="{B9C5C317-885D-44DC-AC51-138EEECA3799}"/>
    <hyperlink ref="N232" r:id="rId63" display="https://www.caaquebec.com/en/on-the-road/public-interest/gasoline-matters/gasoline-watch/" xr:uid="{D9C547B3-243F-46C9-B1BF-7E76D91CD8C3}"/>
    <hyperlink ref="N235" r:id="rId64" xr:uid="{D44166FC-6F43-4037-A125-AEB1B3954D98}"/>
    <hyperlink ref="N234" r:id="rId65" xr:uid="{17C44238-1326-49ED-B8AC-68B34223901A}"/>
    <hyperlink ref="N27" r:id="rId66" xr:uid="{106A0B8E-0D0B-4EC9-AA3D-46CFF4203876}"/>
    <hyperlink ref="N352" r:id="rId67" xr:uid="{63A61303-05A2-4139-828D-A739200D58FA}"/>
    <hyperlink ref="N354" r:id="rId68" xr:uid="{BFCC5B5D-5FBC-4798-87F9-435209E1CEC2}"/>
    <hyperlink ref="N353" r:id="rId69" xr:uid="{89C0083D-32AB-4E24-BF24-F4E91D113509}"/>
    <hyperlink ref="N18" r:id="rId70" xr:uid="{DF4B1601-AACF-B24F-91D1-1CABFBF5AD39}"/>
    <hyperlink ref="N21" r:id="rId71" xr:uid="{493B565C-C626-5C4B-B037-7B5D48BFCB5E}"/>
    <hyperlink ref="N56" r:id="rId72" location="srp" xr:uid="{0426C11F-6646-444F-AD14-C00ADB969FEC}"/>
    <hyperlink ref="N55" r:id="rId73" location="srp" xr:uid="{0F113D4A-8AA7-D845-B312-01A23B892B68}"/>
    <hyperlink ref="N54" r:id="rId74" xr:uid="{584158D1-9690-A444-AAF8-BE7C5E2BD611}"/>
    <hyperlink ref="N53" r:id="rId75" xr:uid="{122DA4B5-B732-1840-AFE6-258338CCBC75}"/>
    <hyperlink ref="N52" r:id="rId76" xr:uid="{0C3F7517-6994-F644-BB13-1552DD172974}"/>
    <hyperlink ref="N51" r:id="rId77" xr:uid="{82F86AC0-903D-2747-A2B7-F16A922A378A}"/>
    <hyperlink ref="N72" r:id="rId78" xr:uid="{916CA74C-9A67-D04F-9CFD-293C0D469054}"/>
    <hyperlink ref="N73" r:id="rId79" xr:uid="{DF734DBC-8685-A14C-B5C0-62A168BDA63F}"/>
    <hyperlink ref="N74" r:id="rId80" xr:uid="{E2719797-056C-AE40-A73C-E701D05B2777}"/>
    <hyperlink ref="N80" r:id="rId81" location="srp" xr:uid="{7D9793EE-F9A2-1B45-BA68-3AA0D595AAA3}"/>
    <hyperlink ref="N79" r:id="rId82" location="srp" xr:uid="{FCCE6A47-8549-7048-B713-DABDC09EA661}"/>
    <hyperlink ref="N78" r:id="rId83" xr:uid="{B00AB240-76FC-E845-B09E-2B9126EF58A9}"/>
    <hyperlink ref="N77" r:id="rId84" xr:uid="{5F0DF6BC-E67D-AB4C-B771-86E84364DB9E}"/>
    <hyperlink ref="N76" r:id="rId85" xr:uid="{3400FEC4-B115-E347-AADA-6A7A6B6A1840}"/>
    <hyperlink ref="N95" r:id="rId86" xr:uid="{5A2EFA30-45DD-AA4C-8645-A7D7C2D852C8}"/>
    <hyperlink ref="N96" r:id="rId87" xr:uid="{E3D53B7E-AFDC-254E-B5BB-6BD51C73E932}"/>
    <hyperlink ref="N97" r:id="rId88" xr:uid="{6B9A3779-2169-B94E-87ED-47285AEE3A6B}"/>
    <hyperlink ref="N103" r:id="rId89" location="srp" xr:uid="{FED0BDC7-434E-7F46-9E8B-85D6505F7750}"/>
    <hyperlink ref="N102" r:id="rId90" location="srp" xr:uid="{0B245BF5-1314-934F-B291-E0ED460562E7}"/>
    <hyperlink ref="N101" r:id="rId91" xr:uid="{07974503-969A-104A-B4FF-40A440DE82AA}"/>
    <hyperlink ref="N100" r:id="rId92" xr:uid="{5F1E4B78-BB5F-0B4D-A68D-BDF51179976E}"/>
    <hyperlink ref="N99" r:id="rId93" xr:uid="{F7A9F868-E0A3-4A4A-8BD6-0C773AB6752E}"/>
    <hyperlink ref="N39" r:id="rId94" location="?keyword=blood+lancet" display="https://www.fishersci.ca/shop/products/bd-micro-fine-contact-activated-lancet-3/p-3491417 - ?keyword=blood+lancet" xr:uid="{594A03C5-81C3-4DDB-B997-E195941D6111}"/>
    <hyperlink ref="N63" r:id="rId95" location="?keyword=blood+lancet" display="https://www.fishersci.ca/shop/products/bd-micro-fine-contact-activated-lancet-3/p-3491417 - ?keyword=blood+lancet" xr:uid="{2A10DFED-8740-47F5-A2A9-5C92EC153F31}"/>
    <hyperlink ref="N86" r:id="rId96" location="?keyword=blood+lancet" display="https://www.fishersci.ca/shop/products/bd-micro-fine-contact-activated-lancet-3/p-3491417 - ?keyword=blood+lancet" xr:uid="{08D9FE29-60D2-444A-939C-6328E72B9623}"/>
    <hyperlink ref="N109" r:id="rId97" location="?keyword=blood+lancet" display="https://www.fishersci.ca/shop/products/bd-micro-fine-contact-activated-lancet-3/p-3491417 - ?keyword=blood+lancet" xr:uid="{13B34703-7339-4C05-AA47-B80056F55D66}"/>
    <hyperlink ref="N135" r:id="rId98" location="?keyword=blood+lancet" display="https://www.fishersci.ca/shop/products/bd-micro-fine-contact-activated-lancet-3/p-3491417 - ?keyword=blood+lancet" xr:uid="{6E0E7014-E5EC-48D6-A0EB-2EE884FC457A}"/>
    <hyperlink ref="N161" r:id="rId99" location="?keyword=blood+lancet" display="https://www.fishersci.ca/shop/products/bd-micro-fine-contact-activated-lancet-3/p-3491417 - ?keyword=blood+lancet" xr:uid="{D3A0AA45-62FB-46FC-AD84-03F32C077EE2}"/>
    <hyperlink ref="N188" r:id="rId100" location="?keyword=blood+lancet" display="https://www.fishersci.ca/shop/products/bd-micro-fine-contact-activated-lancet-3/p-3491417 - ?keyword=blood+lancet" xr:uid="{863D9F1A-5F72-4140-AF96-1A35D971212A}"/>
    <hyperlink ref="N215" r:id="rId101" location="?keyword=blood+lancet" display="https://www.fishersci.ca/shop/products/bd-micro-fine-contact-activated-lancet-3/p-3491417 - ?keyword=blood+lancet" xr:uid="{9B494B95-F884-4822-86D1-B0A3AD82D748}"/>
    <hyperlink ref="N342" r:id="rId102" xr:uid="{1689E460-2233-419B-92C0-2AEADEC6AF82}"/>
    <hyperlink ref="N346" r:id="rId103" xr:uid="{9292FA40-2B51-442F-B3A8-4278A5D6350A}"/>
    <hyperlink ref="N196" r:id="rId104" xr:uid="{A58CB0B4-6E7F-41EB-80EF-DF4773DE3F7D}"/>
    <hyperlink ref="N197" r:id="rId105" xr:uid="{AC967557-AAA9-4091-A2D0-F70A6A45E57D}"/>
    <hyperlink ref="N198" r:id="rId106" xr:uid="{F5D4AFA3-4EBB-41F3-B731-A35FFAC1CC7D}"/>
    <hyperlink ref="N169" r:id="rId107" xr:uid="{32EE10F1-69AD-4293-BBF2-83A76106B993}"/>
    <hyperlink ref="N170" r:id="rId108" xr:uid="{F5357C5F-C1AF-411B-8120-001D0163CF08}"/>
    <hyperlink ref="N171" r:id="rId109" xr:uid="{5634F641-53CC-4AFA-AE2F-1B80616AFA5F}"/>
    <hyperlink ref="N181" r:id="rId110" location="srp" xr:uid="{B050F186-2879-4A22-A000-E9F56190EE57}"/>
    <hyperlink ref="N180" r:id="rId111" location="srp" xr:uid="{B8B37191-B6F2-4623-BA46-5C4219ABFDC3}"/>
    <hyperlink ref="N179" r:id="rId112" xr:uid="{6A6D4E12-4015-4B0B-8BC8-C2D1C222FB57}"/>
    <hyperlink ref="N178" r:id="rId113" xr:uid="{08FD5E38-CEAB-479C-BDD0-434B1C2A8352}"/>
    <hyperlink ref="N177" r:id="rId114" xr:uid="{504169AB-50D1-43FD-AFF6-0BFCA974990B}"/>
    <hyperlink ref="N208" r:id="rId115" location="srp" xr:uid="{58DF9FE2-DC0D-4DE2-AD8D-3B272D78821C}"/>
    <hyperlink ref="N207" r:id="rId116" location="srp" xr:uid="{EF575154-F317-4EC9-8DFE-97AD552D0DA6}"/>
    <hyperlink ref="N206" r:id="rId117" xr:uid="{FB52A1F9-C717-4035-803C-ADD8B40A085D}"/>
    <hyperlink ref="N205" r:id="rId118" xr:uid="{78889350-6294-4051-952E-34687C446B1A}"/>
    <hyperlink ref="N204" r:id="rId119" xr:uid="{68F1CBC1-8AC5-4881-8F24-5A6647131BF4}"/>
    <hyperlink ref="N267" r:id="rId120" xr:uid="{5F710756-C8E3-B547-8341-1C871FBA993E}"/>
    <hyperlink ref="N268" r:id="rId121" xr:uid="{79C3F4CE-052B-CB44-AA54-32080693C4CA}"/>
    <hyperlink ref="N270" r:id="rId122" xr:uid="{3C875ABC-F903-B640-885D-3F4AB2F3F3E3}"/>
    <hyperlink ref="N272" r:id="rId123" xr:uid="{831C5B75-025C-6D42-8737-8670F112BDD8}"/>
    <hyperlink ref="N273" r:id="rId124" xr:uid="{64CB4428-51C7-684A-84B4-1454894FDD56}"/>
    <hyperlink ref="N274" r:id="rId125" xr:uid="{945C856F-F653-E84C-9361-46AD8F939C80}"/>
    <hyperlink ref="N269" r:id="rId126" xr:uid="{919258B8-E209-C940-8F3D-D50411664A44}"/>
    <hyperlink ref="N271" r:id="rId127" xr:uid="{A0443610-B398-E348-BA5B-35DE8C594B3B}"/>
    <hyperlink ref="N278" r:id="rId128" location="srp" xr:uid="{52E5F0F3-E956-F948-87D2-B6311E97BC10}"/>
    <hyperlink ref="N277" r:id="rId129" location="srp" xr:uid="{0613278B-DD6F-F249-9F25-F4D42491A352}"/>
    <hyperlink ref="N276" r:id="rId130" xr:uid="{C41450DB-77FF-B840-933E-C0BFB80AD993}"/>
    <hyperlink ref="N275" r:id="rId131" xr:uid="{D7047BAD-642F-554B-A022-CA3C36EA5842}"/>
    <hyperlink ref="N279" r:id="rId132" xr:uid="{C29D679B-2F4B-7E4A-9132-5E9E465E1AD3}"/>
    <hyperlink ref="N280" r:id="rId133" xr:uid="{2444CAA4-B7B0-674C-9AC3-3528113CCC31}"/>
    <hyperlink ref="N281" r:id="rId134" xr:uid="{B4D6BDDF-DE52-A446-B46F-34B0D3F79BFF}"/>
    <hyperlink ref="N282" r:id="rId135" xr:uid="{99FC59B1-1378-5A49-AD3D-B4FCEDBA5AC3}"/>
    <hyperlink ref="N284" r:id="rId136" xr:uid="{ECAE1A08-A7F9-774C-AC23-1F288A1FBE1B}"/>
    <hyperlink ref="N286" r:id="rId137" xr:uid="{31E2900E-0706-8344-8306-8ADB6FC6A84E}"/>
    <hyperlink ref="N287" r:id="rId138" xr:uid="{898B1194-A16E-5E4A-BF71-13507B5DDBFA}"/>
    <hyperlink ref="N288" r:id="rId139" xr:uid="{F1800917-FADB-0A40-A37A-B7EDCF5E8F0A}"/>
    <hyperlink ref="N283" r:id="rId140" xr:uid="{669183D1-48B2-0542-AAA1-19AE92A85FA0}"/>
    <hyperlink ref="N285" r:id="rId141" xr:uid="{6505E838-EC5C-D445-96F3-8E499DCA2249}"/>
    <hyperlink ref="N292" r:id="rId142" location="srp" xr:uid="{D3451569-C0D1-3140-85B7-8683476DB957}"/>
    <hyperlink ref="N291" r:id="rId143" location="srp" xr:uid="{B706BE4C-6D24-C04A-8B16-2471694CF2B0}"/>
    <hyperlink ref="N290" r:id="rId144" xr:uid="{7BFB6F2C-A31D-7A43-82CF-A7242022EA2B}"/>
    <hyperlink ref="N289" r:id="rId145" xr:uid="{493112DD-BF51-8049-A407-EB5E007AA1A1}"/>
    <hyperlink ref="N293" r:id="rId146" xr:uid="{E11A4CB7-E137-ED49-B250-4AAEE470AACD}"/>
    <hyperlink ref="N294" r:id="rId147" xr:uid="{FA859B8F-7534-5C46-AABF-5B3EB120DE47}"/>
    <hyperlink ref="N295" r:id="rId148" xr:uid="{86E10161-B384-E04C-AE80-99B04B72D371}"/>
    <hyperlink ref="N296" r:id="rId149" xr:uid="{B2CAF240-A968-8243-B2C4-56551F1F1BCB}"/>
    <hyperlink ref="N298" r:id="rId150" xr:uid="{EB320713-B3C3-E84D-80E6-953491F0F195}"/>
    <hyperlink ref="N300" r:id="rId151" xr:uid="{5315BABC-19A4-7140-B74D-71B02256D648}"/>
    <hyperlink ref="N301" r:id="rId152" xr:uid="{4F3D28C8-5A75-614A-A9BB-E63C147C65DB}"/>
    <hyperlink ref="N302" r:id="rId153" xr:uid="{327FA58F-811C-C248-8B53-A9E6F1721844}"/>
    <hyperlink ref="N297" r:id="rId154" xr:uid="{9E7CE61F-9DDF-1645-A1FE-25F008775B82}"/>
    <hyperlink ref="N299" r:id="rId155" xr:uid="{CAA85C33-043F-D44B-8E5E-657DB59804EF}"/>
    <hyperlink ref="N306" r:id="rId156" location="srp" xr:uid="{FD72207E-C839-2E42-8DDF-9F66DA473F3A}"/>
    <hyperlink ref="N305" r:id="rId157" location="srp" xr:uid="{E31209C2-B098-2740-8401-1A4858184664}"/>
    <hyperlink ref="N304" r:id="rId158" xr:uid="{A1F0278F-28B6-CD43-84E9-72D12722AB18}"/>
    <hyperlink ref="N303" r:id="rId159" xr:uid="{C47F5091-2FE8-4846-9834-E102AB80496D}"/>
    <hyperlink ref="N307" r:id="rId160" xr:uid="{FF65AB65-055C-E343-840F-DB763A0A3996}"/>
    <hyperlink ref="N308" r:id="rId161" xr:uid="{00428977-6D00-9145-A5FC-E4A2720316E2}"/>
    <hyperlink ref="N309" r:id="rId162" xr:uid="{375D828E-584A-8D49-81B7-63266EAD3002}"/>
    <hyperlink ref="N310" r:id="rId163" xr:uid="{A69B4DE0-93C5-5A4B-909F-1D27FC66C60B}"/>
    <hyperlink ref="N312" r:id="rId164" xr:uid="{D062F8A8-40AD-3146-AB76-0D703156F21B}"/>
    <hyperlink ref="N314" r:id="rId165" xr:uid="{6D41C8BE-6A6D-364D-B85B-661FDF50ACB6}"/>
    <hyperlink ref="N315" r:id="rId166" xr:uid="{8B76D40F-B4A4-1545-866B-897A33EC368A}"/>
    <hyperlink ref="N316" r:id="rId167" xr:uid="{F5A5BB17-E98C-2B47-B2AF-608C812AC47C}"/>
    <hyperlink ref="N311" r:id="rId168" xr:uid="{4CAE35CD-A6D1-1E40-B3CC-7905902AF34A}"/>
    <hyperlink ref="N313" r:id="rId169" xr:uid="{9FE535B0-2C75-9C41-82AD-DE64519614F3}"/>
    <hyperlink ref="N320" r:id="rId170" location="srp" xr:uid="{4902B25B-6806-704E-B826-3F002585DAA9}"/>
    <hyperlink ref="N319" r:id="rId171" location="srp" xr:uid="{E74C58E0-5883-7C47-9FDA-7E75D1865D14}"/>
    <hyperlink ref="N318" r:id="rId172" xr:uid="{E1A3D71E-5533-BE43-8DD1-973B77CF6BBD}"/>
    <hyperlink ref="N317" r:id="rId173" xr:uid="{56B91C74-5CA5-894D-B609-529AB1E39AC2}"/>
    <hyperlink ref="N321" r:id="rId174" xr:uid="{88DDDC9E-4775-914D-8666-2509D44BDDD7}"/>
    <hyperlink ref="N322" r:id="rId175" xr:uid="{9DE18779-C5D9-C740-90AF-80FD682B7398}"/>
    <hyperlink ref="N104" r:id="rId176" xr:uid="{A3C3710C-ABB2-5D43-8F10-8D2EB488AD4E}"/>
    <hyperlink ref="N230" r:id="rId177" xr:uid="{DD643F3B-BC6F-BD46-840D-D19233D7A5F5}"/>
    <hyperlink ref="N229" r:id="rId178" xr:uid="{38B482CE-3CAB-514C-B6C1-1D5871DB4E35}"/>
    <hyperlink ref="N237" r:id="rId179" xr:uid="{63274F94-CFCA-324B-B2C7-7033FDC17C03}"/>
    <hyperlink ref="N236" r:id="rId180" xr:uid="{0CB293BD-5ACC-D544-9AD0-846041FBE6BD}"/>
    <hyperlink ref="N323" r:id="rId181" xr:uid="{FCAD88BC-41A7-0846-854C-145072912CAE}"/>
    <hyperlink ref="N324" r:id="rId182" xr:uid="{30A34C61-09C3-2E46-A6D8-ABDD23013F59}"/>
    <hyperlink ref="N326" r:id="rId183" xr:uid="{87C95FAC-68DA-2242-8376-5C5136CDA0FE}"/>
    <hyperlink ref="N328" r:id="rId184" xr:uid="{FE3BBAD1-44BE-5049-BA89-65597FE0C312}"/>
    <hyperlink ref="N329" r:id="rId185" xr:uid="{5643D648-DA71-5C45-9673-2B6CB073BCFC}"/>
    <hyperlink ref="N330" r:id="rId186" xr:uid="{60CBC0A2-C815-5C4C-86A8-68A205C46230}"/>
    <hyperlink ref="N325" r:id="rId187" xr:uid="{4DBE18C5-7F9E-544A-AD5E-A157113773AE}"/>
    <hyperlink ref="N327" r:id="rId188" xr:uid="{B3B4FA4D-0C3D-D94A-85D6-100DA59AA0F3}"/>
    <hyperlink ref="N334" r:id="rId189" location="srp" xr:uid="{6843C8E9-DEB2-5B4E-A219-576B476553F0}"/>
    <hyperlink ref="N333" r:id="rId190" location="srp" xr:uid="{D32FE59A-948B-BC4C-80AB-32EDDA252F5C}"/>
    <hyperlink ref="N332" r:id="rId191" xr:uid="{A91A777B-8B0B-FF4B-8FA5-67FA8698778B}"/>
    <hyperlink ref="N331" r:id="rId192" xr:uid="{0DDA854C-1DC5-7D46-B703-AB05009CF73F}"/>
    <hyperlink ref="N335" r:id="rId193" xr:uid="{CEF28326-CBC6-7349-8B70-2304C4F1643F}"/>
  </hyperlinks>
  <pageMargins left="0.7" right="0.7" top="0.75" bottom="0.75" header="0.3" footer="0.3"/>
  <legacyDrawing r:id="rId19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6EACF-5929-4820-9770-7E0436043FCB}">
  <dimension ref="B2:N378"/>
  <sheetViews>
    <sheetView zoomScale="88" zoomScaleNormal="70" workbookViewId="0">
      <selection activeCell="M13" sqref="M13"/>
    </sheetView>
  </sheetViews>
  <sheetFormatPr defaultColWidth="10.625" defaultRowHeight="15.75"/>
  <cols>
    <col min="1" max="1" width="4" style="1" customWidth="1"/>
    <col min="2" max="2" width="32.125" style="1" customWidth="1"/>
    <col min="3" max="3" width="27.5" style="1" customWidth="1"/>
    <col min="4" max="4" width="23.5" style="2" customWidth="1"/>
    <col min="5" max="5" width="11.125" style="21" bestFit="1" customWidth="1"/>
    <col min="6" max="6" width="15.625" style="2" customWidth="1"/>
    <col min="7" max="7" width="24.125" style="1" customWidth="1"/>
    <col min="8" max="8" width="11" style="3" bestFit="1" customWidth="1"/>
    <col min="9" max="9" width="11" style="32" customWidth="1"/>
    <col min="10" max="11" width="12.625" style="1" customWidth="1"/>
    <col min="12" max="12" width="21.625" style="4" customWidth="1"/>
    <col min="13" max="13" width="99.125" style="1" customWidth="1"/>
    <col min="14" max="14" width="97" style="1" customWidth="1"/>
    <col min="15" max="16384" width="10.625" style="1"/>
  </cols>
  <sheetData>
    <row r="2" spans="2:14" ht="20.100000000000001" customHeight="1">
      <c r="B2" s="551" t="s">
        <v>447</v>
      </c>
      <c r="C2" s="551"/>
      <c r="D2" s="551"/>
      <c r="E2" s="551"/>
      <c r="F2" s="551"/>
      <c r="G2" s="551"/>
      <c r="H2" s="551"/>
    </row>
    <row r="3" spans="2:14" ht="16.5" thickBot="1"/>
    <row r="4" spans="2:14" ht="21" customHeight="1">
      <c r="B4" s="38" t="s">
        <v>89</v>
      </c>
      <c r="C4" s="36">
        <f>DASHBOARD!D86</f>
        <v>719993</v>
      </c>
      <c r="D4" s="106" t="s">
        <v>295</v>
      </c>
      <c r="E4" s="21">
        <f>(IF(F25&gt;0,J25+J37,0)+IF(F49&gt;0,J49+J61,0)+IF(F73&gt;0,J73+J83,0)+IF(F95&gt;0,J95+J105,0))/(IF(F25&gt;0,1,0)+IF(F49&gt;0,1,0)+IF(F73&gt;0,1,0)+IF(F95&gt;0,1,0))</f>
        <v>14.516907009611799</v>
      </c>
    </row>
    <row r="5" spans="2:14" ht="18" customHeight="1">
      <c r="B5" s="44" t="s">
        <v>196</v>
      </c>
      <c r="C5" s="73">
        <f>C4</f>
        <v>719993</v>
      </c>
      <c r="D5" s="106"/>
    </row>
    <row r="6" spans="2:14" ht="22.35" customHeight="1">
      <c r="B6" s="44" t="s">
        <v>98</v>
      </c>
      <c r="C6" s="73">
        <v>0</v>
      </c>
      <c r="D6" s="106"/>
    </row>
    <row r="7" spans="2:14" ht="20.100000000000001" customHeight="1">
      <c r="B7" s="44" t="s">
        <v>99</v>
      </c>
      <c r="C7" s="73">
        <v>16</v>
      </c>
      <c r="D7" s="106"/>
    </row>
    <row r="8" spans="2:14" ht="19.350000000000001" customHeight="1">
      <c r="B8" s="39" t="s">
        <v>35</v>
      </c>
      <c r="C8" s="37">
        <f>DASHBOARD!$D$103</f>
        <v>2.5999999999999998E-4</v>
      </c>
      <c r="D8" s="106"/>
    </row>
    <row r="9" spans="2:14" ht="20.100000000000001" customHeight="1">
      <c r="B9" s="81" t="s">
        <v>186</v>
      </c>
      <c r="C9" s="82">
        <f>DASHBOARD!D93</f>
        <v>1942</v>
      </c>
      <c r="D9" s="106"/>
    </row>
    <row r="10" spans="2:14" ht="22.35" customHeight="1">
      <c r="B10" s="81" t="s">
        <v>187</v>
      </c>
      <c r="C10" s="82">
        <f>C9</f>
        <v>1942</v>
      </c>
      <c r="D10" s="106"/>
    </row>
    <row r="11" spans="2:14" ht="21" customHeight="1">
      <c r="B11" s="81" t="s">
        <v>188</v>
      </c>
      <c r="C11" s="82">
        <f>C10</f>
        <v>1942</v>
      </c>
      <c r="D11" s="106"/>
    </row>
    <row r="12" spans="2:14" ht="20.100000000000001" customHeight="1">
      <c r="B12" s="81" t="s">
        <v>181</v>
      </c>
      <c r="C12" s="93">
        <f>C4/C9</f>
        <v>370.74819773429454</v>
      </c>
      <c r="D12" s="106"/>
    </row>
    <row r="13" spans="2:14" ht="20.100000000000001" customHeight="1">
      <c r="B13" s="81" t="s">
        <v>185</v>
      </c>
      <c r="C13" s="82">
        <v>0</v>
      </c>
      <c r="D13" s="106"/>
    </row>
    <row r="14" spans="2:14" ht="32.25" thickBot="1">
      <c r="B14" s="40" t="s">
        <v>39</v>
      </c>
      <c r="C14" s="35" t="s">
        <v>248</v>
      </c>
      <c r="D14" s="106"/>
    </row>
    <row r="15" spans="2:14" ht="16.5" thickBot="1">
      <c r="B15" s="28"/>
      <c r="C15" s="28"/>
      <c r="D15" s="29"/>
      <c r="E15" s="18"/>
      <c r="F15" s="29"/>
      <c r="G15" s="28"/>
      <c r="H15" s="30"/>
      <c r="I15" s="33"/>
      <c r="J15" s="28"/>
      <c r="K15" s="28"/>
      <c r="L15" s="31"/>
      <c r="M15" s="28"/>
      <c r="N15" s="28"/>
    </row>
    <row r="16" spans="2:14" ht="63.75" thickBot="1">
      <c r="B16" s="45" t="s">
        <v>0</v>
      </c>
      <c r="C16" s="45" t="s">
        <v>85</v>
      </c>
      <c r="D16" s="45" t="s">
        <v>5</v>
      </c>
      <c r="E16" s="46" t="s">
        <v>1</v>
      </c>
      <c r="F16" s="45" t="s">
        <v>4</v>
      </c>
      <c r="G16" s="45" t="s">
        <v>19</v>
      </c>
      <c r="H16" s="47" t="s">
        <v>37</v>
      </c>
      <c r="I16" s="48" t="s">
        <v>42</v>
      </c>
      <c r="J16" s="45" t="s">
        <v>20</v>
      </c>
      <c r="K16" s="45" t="s">
        <v>459</v>
      </c>
      <c r="L16" s="49" t="s">
        <v>3</v>
      </c>
      <c r="M16" s="50" t="s">
        <v>36</v>
      </c>
      <c r="N16" s="86" t="s">
        <v>125</v>
      </c>
    </row>
    <row r="17" spans="2:14" ht="26.1" customHeight="1">
      <c r="B17" s="15" t="s">
        <v>2</v>
      </c>
      <c r="C17" s="8">
        <f>C4</f>
        <v>719993</v>
      </c>
      <c r="D17" s="13">
        <v>1</v>
      </c>
      <c r="E17" s="19">
        <v>1</v>
      </c>
      <c r="F17" s="13">
        <v>1</v>
      </c>
      <c r="G17" s="42" t="s">
        <v>14</v>
      </c>
      <c r="H17" s="7">
        <f>DASHBOARD!D35</f>
        <v>24.612000000000002</v>
      </c>
      <c r="I17" s="34">
        <v>8</v>
      </c>
      <c r="J17" s="71">
        <f>0.2083333333*(8/7)*DASHBOARD!$D$131</f>
        <v>0.23809523805714286</v>
      </c>
      <c r="K17" s="71">
        <f>$F$17*I17*J17</f>
        <v>1.9047619044571429</v>
      </c>
      <c r="L17" s="6">
        <f t="shared" ref="L17:L23" si="0">H17*I17*J17</f>
        <v>46.879999992499201</v>
      </c>
      <c r="M17" s="1" t="s">
        <v>250</v>
      </c>
      <c r="N17" s="87" t="s">
        <v>111</v>
      </c>
    </row>
    <row r="18" spans="2:14" ht="26.1" customHeight="1">
      <c r="B18" s="15"/>
      <c r="C18" s="8"/>
      <c r="D18" s="13"/>
      <c r="E18" s="19"/>
      <c r="F18" s="13"/>
      <c r="G18" s="42" t="s">
        <v>230</v>
      </c>
      <c r="H18" s="56">
        <f>DASHBOARD!D55</f>
        <v>32.963999999999999</v>
      </c>
      <c r="I18" s="34">
        <v>0</v>
      </c>
      <c r="J18" s="71">
        <f>J17/5</f>
        <v>4.7619047611428572E-2</v>
      </c>
      <c r="K18" s="71">
        <f t="shared" ref="K18:K23" si="1">$F$17*I18*J18</f>
        <v>0</v>
      </c>
      <c r="L18" s="6">
        <f t="shared" si="0"/>
        <v>0</v>
      </c>
      <c r="M18" s="1" t="s">
        <v>245</v>
      </c>
      <c r="N18" s="87" t="s">
        <v>244</v>
      </c>
    </row>
    <row r="19" spans="2:14" ht="26.1" customHeight="1">
      <c r="B19" s="15"/>
      <c r="C19" s="8"/>
      <c r="D19" s="13"/>
      <c r="E19" s="19"/>
      <c r="F19" s="13">
        <v>1</v>
      </c>
      <c r="G19" s="132" t="s">
        <v>474</v>
      </c>
      <c r="H19" s="56">
        <v>45.37</v>
      </c>
      <c r="I19" s="34">
        <v>8</v>
      </c>
      <c r="J19" s="71">
        <v>1.04</v>
      </c>
      <c r="K19" s="71">
        <f t="shared" si="1"/>
        <v>8.32</v>
      </c>
      <c r="L19" s="6">
        <f t="shared" si="0"/>
        <v>377.47839999999997</v>
      </c>
      <c r="M19" s="1" t="s">
        <v>255</v>
      </c>
      <c r="N19" s="87"/>
    </row>
    <row r="20" spans="2:14" ht="26.1" customHeight="1">
      <c r="B20" s="15"/>
      <c r="C20" s="8"/>
      <c r="D20" s="13"/>
      <c r="E20" s="19"/>
      <c r="F20" s="13"/>
      <c r="G20" s="132" t="s">
        <v>475</v>
      </c>
      <c r="H20" s="56">
        <v>25.43</v>
      </c>
      <c r="I20" s="34">
        <v>8</v>
      </c>
      <c r="J20" s="71">
        <v>1.67</v>
      </c>
      <c r="K20" s="71">
        <f t="shared" si="1"/>
        <v>13.36</v>
      </c>
      <c r="L20" s="6">
        <f t="shared" si="0"/>
        <v>339.7448</v>
      </c>
      <c r="M20" s="1" t="s">
        <v>254</v>
      </c>
      <c r="N20" s="87"/>
    </row>
    <row r="21" spans="2:14" ht="26.1" customHeight="1">
      <c r="B21" s="15"/>
      <c r="C21" s="8"/>
      <c r="D21" s="13"/>
      <c r="E21" s="19"/>
      <c r="F21" s="13" t="s">
        <v>179</v>
      </c>
      <c r="G21" s="132" t="s">
        <v>14</v>
      </c>
      <c r="H21" s="56">
        <f>DASHBOARD!D35</f>
        <v>24.612000000000002</v>
      </c>
      <c r="I21" s="34">
        <v>8</v>
      </c>
      <c r="J21" s="71">
        <f>(0.5*C9+0.5*C17/100)/8/(C17/100)*(8/7)</f>
        <v>9.0694631753364258E-2</v>
      </c>
      <c r="K21" s="71">
        <f t="shared" si="1"/>
        <v>0.72555705402691406</v>
      </c>
      <c r="L21" s="6">
        <f t="shared" si="0"/>
        <v>17.857410213710409</v>
      </c>
      <c r="M21" s="1" t="s">
        <v>182</v>
      </c>
      <c r="N21" s="87"/>
    </row>
    <row r="22" spans="2:14" ht="26.1" customHeight="1">
      <c r="B22" s="15"/>
      <c r="C22" s="8"/>
      <c r="D22" s="13"/>
      <c r="E22" s="19"/>
      <c r="F22" s="13"/>
      <c r="G22" s="42" t="s">
        <v>17</v>
      </c>
      <c r="H22" s="3">
        <f>DASHBOARD!D36</f>
        <v>45.12</v>
      </c>
      <c r="I22" s="34">
        <f>I21</f>
        <v>8</v>
      </c>
      <c r="J22" s="71">
        <f>J21/2</f>
        <v>4.5347315876682129E-2</v>
      </c>
      <c r="K22" s="71">
        <f t="shared" si="1"/>
        <v>0.36277852701345703</v>
      </c>
      <c r="L22" s="6">
        <f t="shared" si="0"/>
        <v>16.36856713884718</v>
      </c>
      <c r="M22" s="1" t="s">
        <v>183</v>
      </c>
      <c r="N22" s="87"/>
    </row>
    <row r="23" spans="2:14" ht="38.1" customHeight="1">
      <c r="B23" s="15"/>
      <c r="C23" s="8"/>
      <c r="D23" s="13"/>
      <c r="E23" s="19"/>
      <c r="F23" s="13"/>
      <c r="G23" s="42" t="s">
        <v>180</v>
      </c>
      <c r="H23" s="7">
        <f>DASHBOARD!D53</f>
        <v>121.78799999999998</v>
      </c>
      <c r="I23" s="34">
        <f>I21</f>
        <v>8</v>
      </c>
      <c r="J23" s="71">
        <f>J21/2</f>
        <v>4.5347315876682129E-2</v>
      </c>
      <c r="K23" s="71">
        <f t="shared" si="1"/>
        <v>0.36277852701345703</v>
      </c>
      <c r="L23" s="6">
        <f t="shared" si="0"/>
        <v>44.182071247914898</v>
      </c>
      <c r="M23" s="1" t="s">
        <v>247</v>
      </c>
      <c r="N23" s="87" t="s">
        <v>246</v>
      </c>
    </row>
    <row r="24" spans="2:14" ht="22.35" customHeight="1" thickBot="1">
      <c r="B24" s="9" t="s">
        <v>7</v>
      </c>
      <c r="C24" s="10"/>
      <c r="D24" s="14"/>
      <c r="E24" s="20"/>
      <c r="F24" s="14"/>
      <c r="G24" s="10"/>
      <c r="H24" s="549" t="s">
        <v>81</v>
      </c>
      <c r="I24" s="549"/>
      <c r="J24" s="549"/>
      <c r="K24" s="243"/>
      <c r="L24" s="70">
        <f>(D17*F17*L17)+(D17*F19*SUM(L19:L20))+((D17*F17*SUM(L21:L23)))</f>
        <v>842.51124859297158</v>
      </c>
      <c r="M24" s="69" t="str">
        <f>"Per Person Cost is "&amp;ROUND(L24/100,2)&amp;" and the cost per "&amp;$C$4&amp;" people is "&amp;ROUND(L24/100*$C$4,2)</f>
        <v>Per Person Cost is 8.43 and the cost per 719993 people is 6066022.01</v>
      </c>
    </row>
    <row r="25" spans="2:14" ht="47.25">
      <c r="B25" s="16" t="s">
        <v>15</v>
      </c>
      <c r="C25" s="43">
        <f>C4</f>
        <v>719993</v>
      </c>
      <c r="D25" s="115">
        <f>(C5/C4)*DASHBOARD!$D$139</f>
        <v>1</v>
      </c>
      <c r="E25" s="21" t="s">
        <v>266</v>
      </c>
      <c r="F25" s="2">
        <f>(1-DASHBOARD!D128)*(1-DASHBOARD!D123)</f>
        <v>1</v>
      </c>
      <c r="G25" s="42" t="s">
        <v>158</v>
      </c>
      <c r="H25" s="3">
        <f>DASHBOARD!D65</f>
        <v>42.91</v>
      </c>
      <c r="I25" s="32">
        <f>I27/8</f>
        <v>1</v>
      </c>
      <c r="J25" s="11">
        <f>J27</f>
        <v>14.516907009611799</v>
      </c>
      <c r="K25" s="11">
        <f>D25*F25*I25*J25</f>
        <v>14.516907009611799</v>
      </c>
      <c r="L25" s="6">
        <f t="shared" ref="L25:L129" si="2">H25*I25*J25</f>
        <v>622.92047978244227</v>
      </c>
      <c r="N25" s="87"/>
    </row>
    <row r="26" spans="2:14" ht="30" customHeight="1">
      <c r="B26" s="16"/>
      <c r="C26" s="5"/>
      <c r="F26" s="2" t="s">
        <v>468</v>
      </c>
      <c r="G26" s="42" t="s">
        <v>14</v>
      </c>
      <c r="H26" s="3">
        <f>DASHBOARD!D35</f>
        <v>24.612000000000002</v>
      </c>
      <c r="I26" s="32">
        <v>8</v>
      </c>
      <c r="J26" s="11">
        <f>J27</f>
        <v>14.516907009611799</v>
      </c>
      <c r="K26" s="11">
        <f>D25*F25*I26*J26</f>
        <v>116.13525607689439</v>
      </c>
      <c r="L26" s="6">
        <f t="shared" si="2"/>
        <v>2858.3209225645251</v>
      </c>
      <c r="M26" s="1" t="s">
        <v>197</v>
      </c>
      <c r="N26" s="87"/>
    </row>
    <row r="27" spans="2:14" ht="47.25">
      <c r="B27" s="16"/>
      <c r="C27" s="5"/>
      <c r="F27" s="2" t="s">
        <v>468</v>
      </c>
      <c r="G27" s="42" t="s">
        <v>17</v>
      </c>
      <c r="H27" s="3">
        <f>DASHBOARD!D36</f>
        <v>45.12</v>
      </c>
      <c r="I27" s="32">
        <v>8</v>
      </c>
      <c r="J27" s="11">
        <f>((45*$C$11+7.5*$C$5))/($C$25*(C5/C4))*100/60*(8/7)</f>
        <v>14.516907009611799</v>
      </c>
      <c r="K27" s="11">
        <f>D25*F25*I27*J27</f>
        <v>116.13525607689439</v>
      </c>
      <c r="L27" s="6">
        <f t="shared" si="2"/>
        <v>5240.0227541894747</v>
      </c>
      <c r="M27" s="1" t="s">
        <v>198</v>
      </c>
      <c r="N27" s="87"/>
    </row>
    <row r="28" spans="2:14">
      <c r="B28" s="16"/>
      <c r="C28" s="5"/>
      <c r="G28" s="42" t="s">
        <v>202</v>
      </c>
      <c r="H28" s="3">
        <f>DASHBOARD!D79</f>
        <v>0</v>
      </c>
      <c r="I28" s="32">
        <v>1</v>
      </c>
      <c r="J28" s="11">
        <v>100</v>
      </c>
      <c r="K28" s="11"/>
      <c r="L28" s="6">
        <f t="shared" si="2"/>
        <v>0</v>
      </c>
      <c r="N28" s="87"/>
    </row>
    <row r="29" spans="2:14">
      <c r="B29" s="16"/>
      <c r="C29" s="5"/>
      <c r="G29" s="72" t="s">
        <v>199</v>
      </c>
      <c r="H29" s="3">
        <f>DASHBOARD!D77</f>
        <v>100.99</v>
      </c>
      <c r="I29" s="32">
        <v>1</v>
      </c>
      <c r="J29" s="11">
        <f>J25/8</f>
        <v>1.8146133762014749</v>
      </c>
      <c r="K29" s="11"/>
      <c r="L29" s="6">
        <f t="shared" si="2"/>
        <v>183.25780486258694</v>
      </c>
      <c r="M29" s="1" t="s">
        <v>200</v>
      </c>
      <c r="N29" s="88" t="s">
        <v>201</v>
      </c>
    </row>
    <row r="30" spans="2:14">
      <c r="B30" s="16"/>
      <c r="C30" s="5"/>
      <c r="G30" s="5" t="s">
        <v>8</v>
      </c>
      <c r="H30" s="7">
        <f>DASHBOARD!D56</f>
        <v>0.16259999999999999</v>
      </c>
      <c r="I30" s="34">
        <v>1</v>
      </c>
      <c r="J30" s="11">
        <f>4*J26</f>
        <v>58.067628038447197</v>
      </c>
      <c r="K30" s="11"/>
      <c r="L30" s="6">
        <f t="shared" si="2"/>
        <v>9.4417963190515142</v>
      </c>
      <c r="M30" s="1" t="s">
        <v>121</v>
      </c>
      <c r="N30" s="87" t="s">
        <v>116</v>
      </c>
    </row>
    <row r="31" spans="2:14">
      <c r="B31" s="16"/>
      <c r="C31" s="5"/>
      <c r="G31" s="5" t="s">
        <v>41</v>
      </c>
      <c r="H31" s="7">
        <f>DASHBOARD!D57</f>
        <v>3.95</v>
      </c>
      <c r="I31" s="34">
        <v>1</v>
      </c>
      <c r="J31" s="11">
        <f>(4*J27)</f>
        <v>58.067628038447197</v>
      </c>
      <c r="K31" s="12"/>
      <c r="L31" s="6">
        <f t="shared" si="2"/>
        <v>229.36713075186643</v>
      </c>
      <c r="M31" s="1" t="s">
        <v>122</v>
      </c>
      <c r="N31" s="87" t="s">
        <v>117</v>
      </c>
    </row>
    <row r="32" spans="2:14">
      <c r="B32" s="16"/>
      <c r="C32" s="5"/>
      <c r="G32" s="5" t="s">
        <v>9</v>
      </c>
      <c r="H32" s="7">
        <f>DASHBOARD!D58</f>
        <v>13.95</v>
      </c>
      <c r="I32" s="34">
        <v>1</v>
      </c>
      <c r="J32" s="11">
        <f>(4*J27)</f>
        <v>58.067628038447197</v>
      </c>
      <c r="K32" s="12"/>
      <c r="L32" s="6">
        <f t="shared" si="2"/>
        <v>810.04341113633836</v>
      </c>
      <c r="M32" s="1" t="s">
        <v>122</v>
      </c>
      <c r="N32" s="87" t="s">
        <v>118</v>
      </c>
    </row>
    <row r="33" spans="2:14" ht="31.5">
      <c r="B33" s="16" t="s">
        <v>276</v>
      </c>
      <c r="C33" s="5"/>
      <c r="G33" s="5" t="s">
        <v>16</v>
      </c>
      <c r="H33" s="7">
        <f>DASHBOARD!D59</f>
        <v>0.23960000000000001</v>
      </c>
      <c r="I33" s="34">
        <v>1</v>
      </c>
      <c r="J33" s="12">
        <f>(4*J26)+100</f>
        <v>158.0676280384472</v>
      </c>
      <c r="K33" s="5"/>
      <c r="L33" s="6">
        <f t="shared" si="2"/>
        <v>37.873003678011948</v>
      </c>
      <c r="M33" s="1" t="s">
        <v>123</v>
      </c>
      <c r="N33" s="87" t="s">
        <v>119</v>
      </c>
    </row>
    <row r="34" spans="2:14" ht="31.5">
      <c r="B34" s="16" t="s">
        <v>259</v>
      </c>
      <c r="C34" s="5"/>
      <c r="G34" s="5" t="s">
        <v>10</v>
      </c>
      <c r="H34" s="7">
        <f>DASHBOARD!D60</f>
        <v>1.7004999999999999</v>
      </c>
      <c r="I34" s="34">
        <v>1</v>
      </c>
      <c r="J34" s="12">
        <f>100</f>
        <v>100</v>
      </c>
      <c r="K34" s="5"/>
      <c r="L34" s="6">
        <f t="shared" si="2"/>
        <v>170.04999999999998</v>
      </c>
      <c r="M34" s="1" t="s">
        <v>124</v>
      </c>
      <c r="N34" s="87" t="s">
        <v>119</v>
      </c>
    </row>
    <row r="35" spans="2:14">
      <c r="B35" s="16"/>
      <c r="C35" s="5"/>
      <c r="G35" s="5" t="s">
        <v>144</v>
      </c>
      <c r="H35" s="7">
        <f>DASHBOARD!D61</f>
        <v>3.32</v>
      </c>
      <c r="I35" s="34">
        <v>1</v>
      </c>
      <c r="J35" s="5">
        <v>100</v>
      </c>
      <c r="K35" s="5"/>
      <c r="L35" s="6">
        <f t="shared" si="2"/>
        <v>332</v>
      </c>
      <c r="M35" s="1" t="s">
        <v>145</v>
      </c>
      <c r="N35" s="89" t="s">
        <v>147</v>
      </c>
    </row>
    <row r="36" spans="2:14">
      <c r="B36" s="16"/>
      <c r="C36" s="5"/>
      <c r="G36" s="5" t="s">
        <v>11</v>
      </c>
      <c r="H36" s="7">
        <f>DASHBOARD!D62</f>
        <v>0.72</v>
      </c>
      <c r="I36" s="34">
        <v>1</v>
      </c>
      <c r="J36" s="5">
        <f>100</f>
        <v>100</v>
      </c>
      <c r="K36" s="5"/>
      <c r="L36" s="6">
        <f t="shared" si="2"/>
        <v>72</v>
      </c>
      <c r="M36" s="1" t="s">
        <v>146</v>
      </c>
      <c r="N36" s="89" t="s">
        <v>148</v>
      </c>
    </row>
    <row r="37" spans="2:14">
      <c r="B37" s="16"/>
      <c r="C37" s="5"/>
      <c r="F37" s="119">
        <f>DASHBOARD!$D$110</f>
        <v>0</v>
      </c>
      <c r="G37" s="120" t="s">
        <v>17</v>
      </c>
      <c r="H37" s="121">
        <f>DASHBOARD!$D$36</f>
        <v>45.12</v>
      </c>
      <c r="I37" s="122">
        <v>8</v>
      </c>
      <c r="J37" s="120">
        <f>0.625*F37*(8/7)</f>
        <v>0</v>
      </c>
      <c r="K37" s="120"/>
      <c r="L37" s="123">
        <f>F37*H37*I37*J37</f>
        <v>0</v>
      </c>
      <c r="M37" s="1" t="s">
        <v>287</v>
      </c>
      <c r="N37" s="89"/>
    </row>
    <row r="38" spans="2:14">
      <c r="B38" s="16"/>
      <c r="C38" s="5"/>
      <c r="F38" s="124" t="s">
        <v>281</v>
      </c>
      <c r="G38" s="120" t="s">
        <v>14</v>
      </c>
      <c r="H38" s="121">
        <f>DASHBOARD!$D$35</f>
        <v>24.612000000000002</v>
      </c>
      <c r="I38" s="122">
        <v>8</v>
      </c>
      <c r="J38" s="120">
        <f>0.625*(8/7)</f>
        <v>0.71428571428571419</v>
      </c>
      <c r="K38" s="120"/>
      <c r="L38" s="123">
        <f>F37*H38*I38*J38</f>
        <v>0</v>
      </c>
      <c r="M38" s="1" t="s">
        <v>287</v>
      </c>
      <c r="N38" s="89"/>
    </row>
    <row r="39" spans="2:14">
      <c r="B39" s="16"/>
      <c r="C39" s="5"/>
      <c r="F39" s="124"/>
      <c r="G39" s="120" t="s">
        <v>291</v>
      </c>
      <c r="H39" s="121">
        <f>DASHBOARD!$D$59</f>
        <v>0.23960000000000001</v>
      </c>
      <c r="I39" s="122">
        <v>1</v>
      </c>
      <c r="J39" s="120">
        <v>100</v>
      </c>
      <c r="K39" s="120"/>
      <c r="L39" s="123">
        <f>F37*H39*I39*J39</f>
        <v>0</v>
      </c>
      <c r="N39" s="89"/>
    </row>
    <row r="40" spans="2:14">
      <c r="B40" s="16"/>
      <c r="C40" s="5"/>
      <c r="F40" s="119"/>
      <c r="G40" s="120" t="s">
        <v>284</v>
      </c>
      <c r="H40" s="121">
        <v>10</v>
      </c>
      <c r="I40" s="122">
        <v>1</v>
      </c>
      <c r="J40" s="120">
        <v>100</v>
      </c>
      <c r="K40" s="120"/>
      <c r="L40" s="123">
        <f>F37*H40*I40*J40</f>
        <v>0</v>
      </c>
      <c r="M40" s="1" t="s">
        <v>290</v>
      </c>
      <c r="N40" s="89"/>
    </row>
    <row r="41" spans="2:14">
      <c r="B41" s="16"/>
      <c r="C41" s="5"/>
      <c r="F41" s="119"/>
      <c r="G41" s="120" t="s">
        <v>283</v>
      </c>
      <c r="H41" s="121">
        <v>0.84</v>
      </c>
      <c r="I41" s="122">
        <v>1</v>
      </c>
      <c r="J41" s="120">
        <v>100</v>
      </c>
      <c r="K41" s="120"/>
      <c r="L41" s="123">
        <f>F37*H41*I41*J41</f>
        <v>0</v>
      </c>
      <c r="M41" s="1" t="s">
        <v>288</v>
      </c>
      <c r="N41" s="88" t="s">
        <v>289</v>
      </c>
    </row>
    <row r="42" spans="2:14">
      <c r="B42" s="17"/>
      <c r="F42" s="154">
        <f>DASHBOARD!$D$112</f>
        <v>0</v>
      </c>
      <c r="G42" s="155" t="s">
        <v>386</v>
      </c>
      <c r="H42" s="156">
        <f>DASHBOARD!$D$42</f>
        <v>30</v>
      </c>
      <c r="I42" s="157">
        <v>8</v>
      </c>
      <c r="J42" s="155">
        <f>((DASHBOARD!$D$113*100)/480)*(8/7)</f>
        <v>1.1904761904761905</v>
      </c>
      <c r="K42" s="155">
        <f>D25*F42*F25*I42*J42</f>
        <v>0</v>
      </c>
      <c r="L42" s="158">
        <f>F42*H42*I42*J42</f>
        <v>0</v>
      </c>
      <c r="M42" s="1" t="s">
        <v>460</v>
      </c>
      <c r="N42" s="88" t="s">
        <v>387</v>
      </c>
    </row>
    <row r="43" spans="2:14">
      <c r="B43" s="17"/>
      <c r="F43" s="159" t="s">
        <v>281</v>
      </c>
      <c r="G43" s="155" t="s">
        <v>382</v>
      </c>
      <c r="H43" s="156">
        <f>DASHBOARD!$D$59</f>
        <v>0.23960000000000001</v>
      </c>
      <c r="I43" s="157">
        <v>1</v>
      </c>
      <c r="J43" s="155">
        <v>100</v>
      </c>
      <c r="K43" s="155"/>
      <c r="L43" s="158">
        <f>F42*H43*I43*J43</f>
        <v>0</v>
      </c>
      <c r="M43" s="1" t="s">
        <v>388</v>
      </c>
      <c r="N43" s="88"/>
    </row>
    <row r="44" spans="2:14">
      <c r="B44" s="17"/>
      <c r="F44" s="159" t="s">
        <v>380</v>
      </c>
      <c r="G44" s="155" t="s">
        <v>383</v>
      </c>
      <c r="H44" s="156">
        <f>DASHBOARD!$D$60</f>
        <v>1.7004999999999999</v>
      </c>
      <c r="I44" s="157">
        <v>1</v>
      </c>
      <c r="J44" s="155">
        <v>100</v>
      </c>
      <c r="K44" s="155"/>
      <c r="L44" s="158">
        <f>F42*H44*I44*J44</f>
        <v>0</v>
      </c>
      <c r="M44" s="1" t="s">
        <v>388</v>
      </c>
      <c r="N44" s="88"/>
    </row>
    <row r="45" spans="2:14">
      <c r="B45" s="17"/>
      <c r="F45" s="154"/>
      <c r="G45" s="155" t="s">
        <v>41</v>
      </c>
      <c r="H45" s="156">
        <f>DASHBOARD!$D$57</f>
        <v>3.95</v>
      </c>
      <c r="I45" s="157">
        <v>1</v>
      </c>
      <c r="J45" s="155">
        <f>I42*J42/2</f>
        <v>4.7619047619047619</v>
      </c>
      <c r="K45" s="155"/>
      <c r="L45" s="158">
        <f>F42*H45*I45*J45</f>
        <v>0</v>
      </c>
      <c r="M45" s="1" t="s">
        <v>385</v>
      </c>
      <c r="N45" s="88"/>
    </row>
    <row r="46" spans="2:14">
      <c r="B46" s="17"/>
      <c r="F46" s="154"/>
      <c r="G46" s="155" t="s">
        <v>384</v>
      </c>
      <c r="H46" s="156">
        <f>DASHBOARD!$D$58</f>
        <v>13.95</v>
      </c>
      <c r="I46" s="157">
        <v>1</v>
      </c>
      <c r="J46" s="155">
        <f>I42*J42/2</f>
        <v>4.7619047619047619</v>
      </c>
      <c r="K46" s="155"/>
      <c r="L46" s="158">
        <f>F42*H46*I46*J46</f>
        <v>0</v>
      </c>
      <c r="M46" s="1" t="s">
        <v>385</v>
      </c>
      <c r="N46" s="88"/>
    </row>
    <row r="47" spans="2:14">
      <c r="B47" s="17"/>
      <c r="F47" s="154"/>
      <c r="G47" s="155" t="s">
        <v>389</v>
      </c>
      <c r="H47" s="156">
        <f>DASHBOARD!$D$71</f>
        <v>2.2799999999999998</v>
      </c>
      <c r="I47" s="157">
        <v>1</v>
      </c>
      <c r="J47" s="155">
        <v>100</v>
      </c>
      <c r="K47" s="155"/>
      <c r="L47" s="158">
        <f>F42*H47*I47*J47</f>
        <v>0</v>
      </c>
      <c r="M47" s="1" t="s">
        <v>390</v>
      </c>
      <c r="N47" s="88" t="s">
        <v>391</v>
      </c>
    </row>
    <row r="48" spans="2:14">
      <c r="B48" s="17"/>
      <c r="F48" s="154"/>
      <c r="G48" s="155" t="s">
        <v>392</v>
      </c>
      <c r="H48" s="156">
        <f>DASHBOARD!$D$72</f>
        <v>0.39</v>
      </c>
      <c r="I48" s="157">
        <v>1</v>
      </c>
      <c r="J48" s="155">
        <v>100</v>
      </c>
      <c r="K48" s="155"/>
      <c r="L48" s="158">
        <f>F42*H48*I48*J48</f>
        <v>0</v>
      </c>
      <c r="M48" s="1" t="s">
        <v>393</v>
      </c>
      <c r="N48" s="88" t="s">
        <v>394</v>
      </c>
    </row>
    <row r="49" spans="2:14">
      <c r="B49" s="16"/>
      <c r="C49" s="5"/>
      <c r="F49" s="2">
        <f>(1-DASHBOARD!$D$128)*DASHBOARD!D123</f>
        <v>0</v>
      </c>
      <c r="G49" s="42" t="s">
        <v>158</v>
      </c>
      <c r="H49" s="3">
        <f>DASHBOARD!D65</f>
        <v>42.91</v>
      </c>
      <c r="I49" s="32">
        <f>I51/8</f>
        <v>1</v>
      </c>
      <c r="J49" s="11">
        <f>J51</f>
        <v>14.516907009611799</v>
      </c>
      <c r="K49" s="11">
        <f>D25*F49*I49*J49</f>
        <v>0</v>
      </c>
      <c r="L49" s="6">
        <f t="shared" ref="L49:L60" si="3">H49*I49*J49</f>
        <v>622.92047978244227</v>
      </c>
      <c r="N49" s="87"/>
    </row>
    <row r="50" spans="2:14">
      <c r="B50" s="16"/>
      <c r="C50" s="5"/>
      <c r="F50" s="2" t="s">
        <v>468</v>
      </c>
      <c r="G50" s="42" t="s">
        <v>14</v>
      </c>
      <c r="H50" s="3">
        <f>DASHBOARD!D35</f>
        <v>24.612000000000002</v>
      </c>
      <c r="I50" s="32">
        <v>8</v>
      </c>
      <c r="J50" s="11">
        <f>J51</f>
        <v>14.516907009611799</v>
      </c>
      <c r="K50" s="11">
        <f>D25*F49*I50*J50</f>
        <v>0</v>
      </c>
      <c r="L50" s="6">
        <f t="shared" si="3"/>
        <v>2858.3209225645251</v>
      </c>
      <c r="M50" s="1" t="s">
        <v>256</v>
      </c>
      <c r="N50" s="87"/>
    </row>
    <row r="51" spans="2:14" ht="31.5">
      <c r="B51" s="16"/>
      <c r="C51" s="5"/>
      <c r="F51" s="2" t="s">
        <v>468</v>
      </c>
      <c r="G51" s="42" t="s">
        <v>17</v>
      </c>
      <c r="H51" s="3">
        <f>DASHBOARD!D36</f>
        <v>45.12</v>
      </c>
      <c r="I51" s="32">
        <v>8</v>
      </c>
      <c r="J51" s="11">
        <f>((45*$C$11+7.5*$C$5))/($C$25*(C5/C4))*100/60*(8/7)</f>
        <v>14.516907009611799</v>
      </c>
      <c r="K51" s="11">
        <f>D25*F49*I51*J51</f>
        <v>0</v>
      </c>
      <c r="L51" s="6">
        <f t="shared" si="3"/>
        <v>5240.0227541894747</v>
      </c>
      <c r="M51" s="1" t="s">
        <v>294</v>
      </c>
      <c r="N51" s="87"/>
    </row>
    <row r="52" spans="2:14">
      <c r="B52" s="16"/>
      <c r="C52" s="5"/>
      <c r="G52" s="42" t="s">
        <v>202</v>
      </c>
      <c r="H52" s="3">
        <f>DASHBOARD!D79</f>
        <v>0</v>
      </c>
      <c r="I52" s="32">
        <v>1</v>
      </c>
      <c r="J52" s="11">
        <v>100</v>
      </c>
      <c r="K52" s="11"/>
      <c r="L52" s="6">
        <f t="shared" si="3"/>
        <v>0</v>
      </c>
      <c r="N52" s="87"/>
    </row>
    <row r="53" spans="2:14">
      <c r="B53" s="16"/>
      <c r="C53" s="5"/>
      <c r="G53" s="72" t="s">
        <v>199</v>
      </c>
      <c r="H53" s="3">
        <f>DASHBOARD!D77</f>
        <v>100.99</v>
      </c>
      <c r="I53" s="32">
        <v>1</v>
      </c>
      <c r="J53" s="11">
        <f>J49/8</f>
        <v>1.8146133762014749</v>
      </c>
      <c r="K53" s="11"/>
      <c r="L53" s="6">
        <f t="shared" si="3"/>
        <v>183.25780486258694</v>
      </c>
      <c r="M53" s="1" t="s">
        <v>200</v>
      </c>
      <c r="N53" s="88" t="s">
        <v>201</v>
      </c>
    </row>
    <row r="54" spans="2:14">
      <c r="B54" s="16"/>
      <c r="C54" s="5"/>
      <c r="G54" s="5" t="s">
        <v>8</v>
      </c>
      <c r="H54" s="7">
        <f>DASHBOARD!D56</f>
        <v>0.16259999999999999</v>
      </c>
      <c r="I54" s="34">
        <v>1</v>
      </c>
      <c r="J54" s="11">
        <f>4*J50</f>
        <v>58.067628038447197</v>
      </c>
      <c r="K54" s="11"/>
      <c r="L54" s="6">
        <f t="shared" si="3"/>
        <v>9.4417963190515142</v>
      </c>
      <c r="M54" s="1" t="s">
        <v>121</v>
      </c>
      <c r="N54" s="87" t="s">
        <v>116</v>
      </c>
    </row>
    <row r="55" spans="2:14">
      <c r="B55" s="16"/>
      <c r="C55" s="5"/>
      <c r="G55" s="5" t="s">
        <v>41</v>
      </c>
      <c r="H55" s="7">
        <f>DASHBOARD!D57</f>
        <v>3.95</v>
      </c>
      <c r="I55" s="34">
        <v>1</v>
      </c>
      <c r="J55" s="11">
        <f>(4*J51)</f>
        <v>58.067628038447197</v>
      </c>
      <c r="K55" s="11"/>
      <c r="L55" s="6">
        <f t="shared" si="3"/>
        <v>229.36713075186643</v>
      </c>
      <c r="M55" s="1" t="s">
        <v>122</v>
      </c>
      <c r="N55" s="87" t="s">
        <v>117</v>
      </c>
    </row>
    <row r="56" spans="2:14">
      <c r="B56" s="16"/>
      <c r="C56" s="5"/>
      <c r="G56" s="5" t="s">
        <v>9</v>
      </c>
      <c r="H56" s="7">
        <f>DASHBOARD!D58</f>
        <v>13.95</v>
      </c>
      <c r="I56" s="34">
        <v>1</v>
      </c>
      <c r="J56" s="11">
        <f>(4*J51)</f>
        <v>58.067628038447197</v>
      </c>
      <c r="K56" s="11"/>
      <c r="L56" s="6">
        <f t="shared" si="3"/>
        <v>810.04341113633836</v>
      </c>
      <c r="M56" s="1" t="s">
        <v>122</v>
      </c>
      <c r="N56" s="87" t="s">
        <v>118</v>
      </c>
    </row>
    <row r="57" spans="2:14">
      <c r="B57" s="16"/>
      <c r="C57" s="5"/>
      <c r="G57" s="5" t="s">
        <v>16</v>
      </c>
      <c r="H57" s="7">
        <f>DASHBOARD!D59</f>
        <v>0.23960000000000001</v>
      </c>
      <c r="I57" s="34">
        <v>1</v>
      </c>
      <c r="J57" s="12">
        <f>(4*J50)+100</f>
        <v>158.0676280384472</v>
      </c>
      <c r="K57" s="12"/>
      <c r="L57" s="6">
        <f t="shared" si="3"/>
        <v>37.873003678011948</v>
      </c>
      <c r="M57" s="1" t="s">
        <v>123</v>
      </c>
      <c r="N57" s="87" t="s">
        <v>119</v>
      </c>
    </row>
    <row r="58" spans="2:14">
      <c r="B58" s="16"/>
      <c r="C58" s="5"/>
      <c r="G58" s="5" t="s">
        <v>10</v>
      </c>
      <c r="H58" s="7">
        <f>DASHBOARD!D60</f>
        <v>1.7004999999999999</v>
      </c>
      <c r="I58" s="34">
        <v>1</v>
      </c>
      <c r="J58" s="12">
        <f>100</f>
        <v>100</v>
      </c>
      <c r="K58" s="12"/>
      <c r="L58" s="6">
        <f t="shared" si="3"/>
        <v>170.04999999999998</v>
      </c>
      <c r="M58" s="1" t="s">
        <v>124</v>
      </c>
      <c r="N58" s="87" t="s">
        <v>119</v>
      </c>
    </row>
    <row r="59" spans="2:14">
      <c r="B59" s="16"/>
      <c r="C59" s="5"/>
      <c r="G59" s="5" t="s">
        <v>144</v>
      </c>
      <c r="H59" s="7">
        <f>DASHBOARD!D61</f>
        <v>3.32</v>
      </c>
      <c r="I59" s="34">
        <v>1</v>
      </c>
      <c r="J59" s="5">
        <v>100</v>
      </c>
      <c r="K59" s="5"/>
      <c r="L59" s="6">
        <f t="shared" si="3"/>
        <v>332</v>
      </c>
      <c r="M59" s="1" t="s">
        <v>145</v>
      </c>
      <c r="N59" s="89" t="s">
        <v>147</v>
      </c>
    </row>
    <row r="60" spans="2:14">
      <c r="B60" s="16"/>
      <c r="C60" s="5"/>
      <c r="G60" s="5" t="s">
        <v>11</v>
      </c>
      <c r="H60" s="7">
        <f>DASHBOARD!D62</f>
        <v>0.72</v>
      </c>
      <c r="I60" s="34">
        <v>1</v>
      </c>
      <c r="J60" s="5">
        <f>100</f>
        <v>100</v>
      </c>
      <c r="K60" s="5"/>
      <c r="L60" s="6">
        <f t="shared" si="3"/>
        <v>72</v>
      </c>
      <c r="M60" s="1" t="s">
        <v>146</v>
      </c>
      <c r="N60" s="89" t="s">
        <v>148</v>
      </c>
    </row>
    <row r="61" spans="2:14">
      <c r="B61" s="16"/>
      <c r="C61" s="5"/>
      <c r="F61" s="119">
        <f>DASHBOARD!$D$110</f>
        <v>0</v>
      </c>
      <c r="G61" s="120" t="s">
        <v>17</v>
      </c>
      <c r="H61" s="121">
        <f>DASHBOARD!$D$36</f>
        <v>45.12</v>
      </c>
      <c r="I61" s="122">
        <v>8</v>
      </c>
      <c r="J61" s="120">
        <f>0.625*F61*(8/7)</f>
        <v>0</v>
      </c>
      <c r="K61" s="120"/>
      <c r="L61" s="123">
        <f>F61*H61*I61*J61</f>
        <v>0</v>
      </c>
      <c r="M61" s="1" t="s">
        <v>287</v>
      </c>
      <c r="N61" s="89"/>
    </row>
    <row r="62" spans="2:14">
      <c r="B62" s="16"/>
      <c r="C62" s="5"/>
      <c r="F62" s="124" t="s">
        <v>281</v>
      </c>
      <c r="G62" s="120" t="s">
        <v>14</v>
      </c>
      <c r="H62" s="121">
        <f>DASHBOARD!$D$35</f>
        <v>24.612000000000002</v>
      </c>
      <c r="I62" s="122">
        <v>8</v>
      </c>
      <c r="J62" s="120">
        <f>0.625*(8/7)</f>
        <v>0.71428571428571419</v>
      </c>
      <c r="K62" s="120"/>
      <c r="L62" s="123">
        <f>F61*H62*I62*J62</f>
        <v>0</v>
      </c>
      <c r="M62" s="1" t="s">
        <v>287</v>
      </c>
      <c r="N62" s="89"/>
    </row>
    <row r="63" spans="2:14">
      <c r="B63" s="16"/>
      <c r="C63" s="5"/>
      <c r="F63" s="124"/>
      <c r="G63" s="120" t="s">
        <v>291</v>
      </c>
      <c r="H63" s="121">
        <f>DASHBOARD!$D$59</f>
        <v>0.23960000000000001</v>
      </c>
      <c r="I63" s="122">
        <v>1</v>
      </c>
      <c r="J63" s="120">
        <v>100</v>
      </c>
      <c r="K63" s="120"/>
      <c r="L63" s="123">
        <f>F61*H63*I63*J63</f>
        <v>0</v>
      </c>
      <c r="N63" s="89"/>
    </row>
    <row r="64" spans="2:14">
      <c r="B64" s="16"/>
      <c r="C64" s="5"/>
      <c r="F64" s="119"/>
      <c r="G64" s="120" t="s">
        <v>284</v>
      </c>
      <c r="H64" s="121">
        <v>10</v>
      </c>
      <c r="I64" s="122">
        <v>1</v>
      </c>
      <c r="J64" s="120">
        <v>100</v>
      </c>
      <c r="K64" s="120"/>
      <c r="L64" s="123">
        <f>F61*H64*I64*J64</f>
        <v>0</v>
      </c>
      <c r="M64" s="1" t="s">
        <v>290</v>
      </c>
      <c r="N64" s="89"/>
    </row>
    <row r="65" spans="2:14">
      <c r="B65" s="16"/>
      <c r="C65" s="5"/>
      <c r="F65" s="119"/>
      <c r="G65" s="120" t="s">
        <v>283</v>
      </c>
      <c r="H65" s="121">
        <v>0.84</v>
      </c>
      <c r="I65" s="122">
        <v>1</v>
      </c>
      <c r="J65" s="120">
        <v>100</v>
      </c>
      <c r="K65" s="120"/>
      <c r="L65" s="123">
        <f>F61*H65*I65*J65</f>
        <v>0</v>
      </c>
      <c r="M65" s="1" t="s">
        <v>288</v>
      </c>
      <c r="N65" s="88" t="s">
        <v>289</v>
      </c>
    </row>
    <row r="66" spans="2:14">
      <c r="B66" s="17"/>
      <c r="F66" s="154">
        <f>DASHBOARD!$D$112</f>
        <v>0</v>
      </c>
      <c r="G66" s="155" t="s">
        <v>386</v>
      </c>
      <c r="H66" s="156">
        <f>DASHBOARD!$D$42</f>
        <v>30</v>
      </c>
      <c r="I66" s="157">
        <v>8</v>
      </c>
      <c r="J66" s="155">
        <f>((DASHBOARD!$D$113*100)/480)*(8/7)</f>
        <v>1.1904761904761905</v>
      </c>
      <c r="K66" s="155">
        <f>D29*F49*F66*I66*J66</f>
        <v>0</v>
      </c>
      <c r="L66" s="158">
        <f>F66*H66*I66*J66</f>
        <v>0</v>
      </c>
      <c r="M66" s="1" t="s">
        <v>460</v>
      </c>
      <c r="N66" s="88" t="s">
        <v>387</v>
      </c>
    </row>
    <row r="67" spans="2:14">
      <c r="B67" s="17"/>
      <c r="F67" s="159" t="s">
        <v>281</v>
      </c>
      <c r="G67" s="155" t="s">
        <v>382</v>
      </c>
      <c r="H67" s="156">
        <f>DASHBOARD!$D$59</f>
        <v>0.23960000000000001</v>
      </c>
      <c r="I67" s="157">
        <v>1</v>
      </c>
      <c r="J67" s="155">
        <v>100</v>
      </c>
      <c r="K67" s="155"/>
      <c r="L67" s="158">
        <f>F66*H67*I67*J67</f>
        <v>0</v>
      </c>
      <c r="M67" s="1" t="s">
        <v>388</v>
      </c>
      <c r="N67" s="88"/>
    </row>
    <row r="68" spans="2:14">
      <c r="B68" s="17"/>
      <c r="F68" s="159" t="s">
        <v>380</v>
      </c>
      <c r="G68" s="155" t="s">
        <v>383</v>
      </c>
      <c r="H68" s="156">
        <f>DASHBOARD!$D$60</f>
        <v>1.7004999999999999</v>
      </c>
      <c r="I68" s="157">
        <v>1</v>
      </c>
      <c r="J68" s="155">
        <v>100</v>
      </c>
      <c r="K68" s="155"/>
      <c r="L68" s="158">
        <f>F66*H68*I68*J68</f>
        <v>0</v>
      </c>
      <c r="M68" s="1" t="s">
        <v>388</v>
      </c>
      <c r="N68" s="88"/>
    </row>
    <row r="69" spans="2:14">
      <c r="B69" s="17"/>
      <c r="F69" s="154"/>
      <c r="G69" s="155" t="s">
        <v>41</v>
      </c>
      <c r="H69" s="156">
        <f>DASHBOARD!$D$57</f>
        <v>3.95</v>
      </c>
      <c r="I69" s="157">
        <v>1</v>
      </c>
      <c r="J69" s="155">
        <f>I66*J66/2</f>
        <v>4.7619047619047619</v>
      </c>
      <c r="K69" s="155"/>
      <c r="L69" s="158">
        <f>F66*H69*I69*J69</f>
        <v>0</v>
      </c>
      <c r="M69" s="1" t="s">
        <v>385</v>
      </c>
      <c r="N69" s="88"/>
    </row>
    <row r="70" spans="2:14">
      <c r="B70" s="17"/>
      <c r="F70" s="154"/>
      <c r="G70" s="155" t="s">
        <v>384</v>
      </c>
      <c r="H70" s="156">
        <f>DASHBOARD!$D$58</f>
        <v>13.95</v>
      </c>
      <c r="I70" s="157">
        <v>1</v>
      </c>
      <c r="J70" s="155">
        <f>I66*J66/2</f>
        <v>4.7619047619047619</v>
      </c>
      <c r="K70" s="155"/>
      <c r="L70" s="158">
        <f>F66*H70*I70*J70</f>
        <v>0</v>
      </c>
      <c r="M70" s="1" t="s">
        <v>385</v>
      </c>
      <c r="N70" s="88"/>
    </row>
    <row r="71" spans="2:14">
      <c r="B71" s="17"/>
      <c r="F71" s="154"/>
      <c r="G71" s="155" t="s">
        <v>389</v>
      </c>
      <c r="H71" s="156">
        <f>DASHBOARD!$D$71</f>
        <v>2.2799999999999998</v>
      </c>
      <c r="I71" s="157">
        <v>1</v>
      </c>
      <c r="J71" s="155">
        <v>100</v>
      </c>
      <c r="K71" s="155"/>
      <c r="L71" s="158">
        <f>F66*H71*I71*J71</f>
        <v>0</v>
      </c>
      <c r="M71" s="1" t="s">
        <v>390</v>
      </c>
      <c r="N71" s="88" t="s">
        <v>391</v>
      </c>
    </row>
    <row r="72" spans="2:14">
      <c r="B72" s="17"/>
      <c r="F72" s="154"/>
      <c r="G72" s="155" t="s">
        <v>392</v>
      </c>
      <c r="H72" s="156">
        <f>DASHBOARD!$D$72</f>
        <v>0.39</v>
      </c>
      <c r="I72" s="157">
        <v>1</v>
      </c>
      <c r="J72" s="155">
        <v>100</v>
      </c>
      <c r="K72" s="155"/>
      <c r="L72" s="158">
        <f>F66*H72*I72*J72</f>
        <v>0</v>
      </c>
      <c r="M72" s="1" t="s">
        <v>393</v>
      </c>
      <c r="N72" s="88" t="s">
        <v>394</v>
      </c>
    </row>
    <row r="73" spans="2:14">
      <c r="B73" s="16"/>
      <c r="C73" s="5"/>
      <c r="E73" s="21" t="s">
        <v>267</v>
      </c>
      <c r="F73" s="2">
        <f>DASHBOARD!$D$128*DASHBOARD!$D$123</f>
        <v>0</v>
      </c>
      <c r="G73" s="41" t="s">
        <v>229</v>
      </c>
      <c r="H73" s="3">
        <f>DASHBOARD!$D$65</f>
        <v>42.91</v>
      </c>
      <c r="I73" s="32">
        <f>I75/8</f>
        <v>1</v>
      </c>
      <c r="J73" s="71">
        <f>J75</f>
        <v>5.945478438183228</v>
      </c>
      <c r="K73" s="11">
        <f>D25*F73*I73*J73</f>
        <v>0</v>
      </c>
      <c r="L73" s="6">
        <f>H73*I73*J73</f>
        <v>255.12047978244229</v>
      </c>
      <c r="N73" s="89"/>
    </row>
    <row r="74" spans="2:14">
      <c r="B74" s="16"/>
      <c r="C74" s="5"/>
      <c r="E74" s="1"/>
      <c r="F74" s="1" t="s">
        <v>468</v>
      </c>
      <c r="G74" s="42" t="s">
        <v>14</v>
      </c>
      <c r="H74" s="3">
        <f>DASHBOARD!$D$35</f>
        <v>24.612000000000002</v>
      </c>
      <c r="I74" s="32">
        <v>8</v>
      </c>
      <c r="J74" s="11">
        <f>J75</f>
        <v>5.945478438183228</v>
      </c>
      <c r="K74" s="11">
        <f>D25*F73*I74*J74</f>
        <v>0</v>
      </c>
      <c r="L74" s="6">
        <f t="shared" ref="L74:L104" si="4">H74*I74*J74</f>
        <v>1170.640922564525</v>
      </c>
      <c r="M74" s="72" t="s">
        <v>274</v>
      </c>
      <c r="N74" s="87" t="s">
        <v>111</v>
      </c>
    </row>
    <row r="75" spans="2:14" ht="31.5">
      <c r="B75" s="16"/>
      <c r="C75" s="5"/>
      <c r="F75" s="2" t="s">
        <v>468</v>
      </c>
      <c r="G75" s="42" t="s">
        <v>6</v>
      </c>
      <c r="H75" s="3">
        <f>DASHBOARD!$D$40</f>
        <v>24.276</v>
      </c>
      <c r="I75" s="32">
        <v>8</v>
      </c>
      <c r="J75" s="11">
        <f>((45*$C$11+3*$C$5))/($C$25*(C5/C4))*100/60*(8/7)</f>
        <v>5.945478438183228</v>
      </c>
      <c r="K75" s="11">
        <f>D25*F73*I75*J75</f>
        <v>0</v>
      </c>
      <c r="L75" s="6">
        <f t="shared" si="4"/>
        <v>1154.6594765226882</v>
      </c>
      <c r="M75" s="1" t="s">
        <v>268</v>
      </c>
      <c r="N75" s="87" t="s">
        <v>112</v>
      </c>
    </row>
    <row r="76" spans="2:14">
      <c r="B76" s="16"/>
      <c r="C76" s="5"/>
      <c r="G76" s="42" t="s">
        <v>27</v>
      </c>
      <c r="H76" s="3">
        <f>DASHBOARD!$D$39</f>
        <v>30</v>
      </c>
      <c r="I76" s="32">
        <v>8</v>
      </c>
      <c r="J76" s="53">
        <v>0</v>
      </c>
      <c r="K76" s="11">
        <f>D25*F73*I76*J76</f>
        <v>0</v>
      </c>
      <c r="L76" s="6">
        <f t="shared" si="4"/>
        <v>0</v>
      </c>
      <c r="M76" s="1" t="s">
        <v>260</v>
      </c>
      <c r="N76" s="87" t="s">
        <v>115</v>
      </c>
    </row>
    <row r="77" spans="2:14">
      <c r="B77" s="16"/>
      <c r="C77" s="5"/>
      <c r="G77" s="5" t="s">
        <v>8</v>
      </c>
      <c r="H77" s="7">
        <f>DASHBOARD!$D$56</f>
        <v>0.16259999999999999</v>
      </c>
      <c r="I77" s="34">
        <v>1</v>
      </c>
      <c r="J77" s="11">
        <f>4*J74</f>
        <v>23.781913752732912</v>
      </c>
      <c r="K77" s="11"/>
      <c r="L77" s="6">
        <f t="shared" si="4"/>
        <v>3.8669391761943714</v>
      </c>
      <c r="M77" s="1" t="s">
        <v>121</v>
      </c>
      <c r="N77" s="87" t="s">
        <v>116</v>
      </c>
    </row>
    <row r="78" spans="2:14">
      <c r="B78" s="16"/>
      <c r="C78" s="5"/>
      <c r="G78" s="5" t="s">
        <v>41</v>
      </c>
      <c r="H78" s="7">
        <f>DASHBOARD!$D$57</f>
        <v>3.95</v>
      </c>
      <c r="I78" s="34">
        <v>1</v>
      </c>
      <c r="J78" s="11">
        <f>(4*J75)+(4*J76)</f>
        <v>23.781913752732912</v>
      </c>
      <c r="K78" s="11"/>
      <c r="L78" s="6">
        <f t="shared" si="4"/>
        <v>93.93855932329501</v>
      </c>
      <c r="M78" s="1" t="s">
        <v>122</v>
      </c>
      <c r="N78" s="87" t="s">
        <v>117</v>
      </c>
    </row>
    <row r="79" spans="2:14">
      <c r="B79" s="16"/>
      <c r="C79" s="5"/>
      <c r="G79" s="5" t="s">
        <v>9</v>
      </c>
      <c r="H79" s="7">
        <f>DASHBOARD!$D$58</f>
        <v>13.95</v>
      </c>
      <c r="I79" s="34">
        <v>1</v>
      </c>
      <c r="J79" s="11">
        <f>(4*J75)+(4*J76)</f>
        <v>23.781913752732912</v>
      </c>
      <c r="K79" s="11"/>
      <c r="L79" s="6">
        <f t="shared" si="4"/>
        <v>331.75769685062409</v>
      </c>
      <c r="M79" s="1" t="s">
        <v>122</v>
      </c>
      <c r="N79" s="87" t="s">
        <v>118</v>
      </c>
    </row>
    <row r="80" spans="2:14">
      <c r="B80" s="16"/>
      <c r="C80" s="5"/>
      <c r="G80" s="5" t="s">
        <v>16</v>
      </c>
      <c r="H80" s="7">
        <f>DASHBOARD!$D$59</f>
        <v>0.23960000000000001</v>
      </c>
      <c r="I80" s="34">
        <v>1</v>
      </c>
      <c r="J80" s="12">
        <f>(4*J74)+(4*J76)+100</f>
        <v>123.78191375273292</v>
      </c>
      <c r="K80" s="11"/>
      <c r="L80" s="6">
        <f t="shared" si="4"/>
        <v>29.65814653515481</v>
      </c>
      <c r="M80" s="1" t="s">
        <v>123</v>
      </c>
      <c r="N80" s="87" t="s">
        <v>119</v>
      </c>
    </row>
    <row r="81" spans="2:14">
      <c r="B81" s="16"/>
      <c r="C81" s="5"/>
      <c r="G81" s="5" t="s">
        <v>10</v>
      </c>
      <c r="H81" s="7">
        <f>DASHBOARD!$D$60</f>
        <v>1.7004999999999999</v>
      </c>
      <c r="I81" s="34">
        <v>1</v>
      </c>
      <c r="J81" s="12">
        <f>(4*J76)+100</f>
        <v>100</v>
      </c>
      <c r="K81" s="12"/>
      <c r="L81" s="6">
        <f t="shared" si="4"/>
        <v>170.04999999999998</v>
      </c>
      <c r="M81" s="1" t="s">
        <v>124</v>
      </c>
      <c r="N81" s="87" t="s">
        <v>119</v>
      </c>
    </row>
    <row r="82" spans="2:14">
      <c r="B82" s="16"/>
      <c r="C82" s="5"/>
      <c r="G82" s="5" t="s">
        <v>273</v>
      </c>
      <c r="H82" s="7">
        <f>DASHBOARD!$D$63</f>
        <v>1.8685</v>
      </c>
      <c r="I82" s="34">
        <v>1</v>
      </c>
      <c r="J82" s="5">
        <v>100</v>
      </c>
      <c r="K82" s="5"/>
      <c r="L82" s="6">
        <f t="shared" si="4"/>
        <v>186.85</v>
      </c>
      <c r="M82" s="1" t="s">
        <v>270</v>
      </c>
      <c r="N82" s="89" t="s">
        <v>271</v>
      </c>
    </row>
    <row r="83" spans="2:14">
      <c r="B83" s="16"/>
      <c r="C83" s="5"/>
      <c r="F83" s="119">
        <f>DASHBOARD!$D$110</f>
        <v>0</v>
      </c>
      <c r="G83" s="120" t="s">
        <v>6</v>
      </c>
      <c r="H83" s="121">
        <f>DASHBOARD!$D$40</f>
        <v>24.276</v>
      </c>
      <c r="I83" s="122">
        <v>8</v>
      </c>
      <c r="J83" s="120">
        <f>0.625*F83*(8/7)</f>
        <v>0</v>
      </c>
      <c r="K83" s="120"/>
      <c r="L83" s="123">
        <f>F83*H83*I83*J83</f>
        <v>0</v>
      </c>
      <c r="M83" s="1" t="s">
        <v>287</v>
      </c>
      <c r="N83" s="89"/>
    </row>
    <row r="84" spans="2:14">
      <c r="B84" s="16"/>
      <c r="C84" s="5"/>
      <c r="F84" s="124" t="s">
        <v>281</v>
      </c>
      <c r="G84" s="120" t="s">
        <v>14</v>
      </c>
      <c r="H84" s="121">
        <f>DASHBOARD!$D$35</f>
        <v>24.612000000000002</v>
      </c>
      <c r="I84" s="122">
        <v>8</v>
      </c>
      <c r="J84" s="120">
        <f>0.625*(8/7)</f>
        <v>0.71428571428571419</v>
      </c>
      <c r="K84" s="120"/>
      <c r="L84" s="123">
        <f>F83*H84*I84*J84</f>
        <v>0</v>
      </c>
      <c r="M84" s="1" t="s">
        <v>287</v>
      </c>
      <c r="N84" s="89"/>
    </row>
    <row r="85" spans="2:14">
      <c r="B85" s="16"/>
      <c r="C85" s="5"/>
      <c r="F85" s="124"/>
      <c r="G85" s="120" t="s">
        <v>291</v>
      </c>
      <c r="H85" s="121">
        <f>DASHBOARD!$D$59</f>
        <v>0.23960000000000001</v>
      </c>
      <c r="I85" s="122">
        <v>1</v>
      </c>
      <c r="J85" s="120">
        <v>100</v>
      </c>
      <c r="K85" s="120"/>
      <c r="L85" s="123">
        <f>F83*H85*I85*J85</f>
        <v>0</v>
      </c>
      <c r="N85" s="89"/>
    </row>
    <row r="86" spans="2:14">
      <c r="B86" s="16"/>
      <c r="C86" s="5"/>
      <c r="F86" s="119"/>
      <c r="G86" s="120" t="s">
        <v>284</v>
      </c>
      <c r="H86" s="121">
        <v>10</v>
      </c>
      <c r="I86" s="122">
        <v>1</v>
      </c>
      <c r="J86" s="120">
        <v>100</v>
      </c>
      <c r="K86" s="120"/>
      <c r="L86" s="123">
        <f>F83*H86*I86*J86</f>
        <v>0</v>
      </c>
      <c r="M86" s="1" t="s">
        <v>290</v>
      </c>
      <c r="N86" s="89"/>
    </row>
    <row r="87" spans="2:14">
      <c r="B87" s="16"/>
      <c r="C87" s="5"/>
      <c r="F87" s="119"/>
      <c r="G87" s="120" t="s">
        <v>283</v>
      </c>
      <c r="H87" s="121">
        <v>0.84</v>
      </c>
      <c r="I87" s="122">
        <v>1</v>
      </c>
      <c r="J87" s="120">
        <v>100</v>
      </c>
      <c r="K87" s="120"/>
      <c r="L87" s="123">
        <f>F83*H87*I87*J87</f>
        <v>0</v>
      </c>
      <c r="M87" s="1" t="s">
        <v>288</v>
      </c>
      <c r="N87" s="88" t="s">
        <v>289</v>
      </c>
    </row>
    <row r="88" spans="2:14">
      <c r="B88" s="17"/>
      <c r="F88" s="154">
        <f>DASHBOARD!$D$112</f>
        <v>0</v>
      </c>
      <c r="G88" s="155" t="s">
        <v>386</v>
      </c>
      <c r="H88" s="156">
        <f>DASHBOARD!$D$42</f>
        <v>30</v>
      </c>
      <c r="I88" s="157">
        <v>8</v>
      </c>
      <c r="J88" s="155">
        <f>((DASHBOARD!$D$113*100)/480)*(8/7)</f>
        <v>1.1904761904761905</v>
      </c>
      <c r="K88" s="155">
        <f>D25*F73*F88*I88*J88</f>
        <v>0</v>
      </c>
      <c r="L88" s="158">
        <f>F88*H88*I88*J88</f>
        <v>0</v>
      </c>
      <c r="M88" s="1" t="s">
        <v>460</v>
      </c>
      <c r="N88" s="88" t="s">
        <v>387</v>
      </c>
    </row>
    <row r="89" spans="2:14">
      <c r="B89" s="17"/>
      <c r="F89" s="159" t="s">
        <v>281</v>
      </c>
      <c r="G89" s="155" t="s">
        <v>382</v>
      </c>
      <c r="H89" s="156">
        <f>DASHBOARD!$D$59</f>
        <v>0.23960000000000001</v>
      </c>
      <c r="I89" s="157">
        <v>1</v>
      </c>
      <c r="J89" s="155">
        <v>100</v>
      </c>
      <c r="K89" s="155"/>
      <c r="L89" s="158">
        <f>F88*H89*I89*J89</f>
        <v>0</v>
      </c>
      <c r="M89" s="1" t="s">
        <v>388</v>
      </c>
      <c r="N89" s="88"/>
    </row>
    <row r="90" spans="2:14">
      <c r="B90" s="17"/>
      <c r="F90" s="159" t="s">
        <v>380</v>
      </c>
      <c r="G90" s="155" t="s">
        <v>383</v>
      </c>
      <c r="H90" s="156">
        <f>DASHBOARD!$D$60</f>
        <v>1.7004999999999999</v>
      </c>
      <c r="I90" s="157">
        <v>1</v>
      </c>
      <c r="J90" s="155">
        <v>100</v>
      </c>
      <c r="K90" s="155"/>
      <c r="L90" s="158">
        <f>F88*H90*I90*J90</f>
        <v>0</v>
      </c>
      <c r="M90" s="1" t="s">
        <v>388</v>
      </c>
      <c r="N90" s="88"/>
    </row>
    <row r="91" spans="2:14">
      <c r="B91" s="17"/>
      <c r="F91" s="154"/>
      <c r="G91" s="155" t="s">
        <v>41</v>
      </c>
      <c r="H91" s="156">
        <f>DASHBOARD!$D$57</f>
        <v>3.95</v>
      </c>
      <c r="I91" s="157">
        <v>1</v>
      </c>
      <c r="J91" s="155">
        <f>I88*J88/2</f>
        <v>4.7619047619047619</v>
      </c>
      <c r="K91" s="155"/>
      <c r="L91" s="158">
        <f>F88*H91*I91*J91</f>
        <v>0</v>
      </c>
      <c r="M91" s="1" t="s">
        <v>385</v>
      </c>
      <c r="N91" s="88"/>
    </row>
    <row r="92" spans="2:14">
      <c r="B92" s="17"/>
      <c r="F92" s="154"/>
      <c r="G92" s="155" t="s">
        <v>384</v>
      </c>
      <c r="H92" s="156">
        <f>DASHBOARD!$D$58</f>
        <v>13.95</v>
      </c>
      <c r="I92" s="157">
        <v>1</v>
      </c>
      <c r="J92" s="155">
        <f>I88*J88/2</f>
        <v>4.7619047619047619</v>
      </c>
      <c r="K92" s="155"/>
      <c r="L92" s="158">
        <f>F88*H92*I92*J92</f>
        <v>0</v>
      </c>
      <c r="M92" s="1" t="s">
        <v>385</v>
      </c>
      <c r="N92" s="88"/>
    </row>
    <row r="93" spans="2:14">
      <c r="B93" s="17"/>
      <c r="F93" s="154"/>
      <c r="G93" s="155" t="s">
        <v>389</v>
      </c>
      <c r="H93" s="156">
        <f>DASHBOARD!$D$71</f>
        <v>2.2799999999999998</v>
      </c>
      <c r="I93" s="157">
        <v>1</v>
      </c>
      <c r="J93" s="155">
        <v>100</v>
      </c>
      <c r="K93" s="155"/>
      <c r="L93" s="158">
        <f>F88*H93*I93*J93</f>
        <v>0</v>
      </c>
      <c r="M93" s="1" t="s">
        <v>390</v>
      </c>
      <c r="N93" s="88" t="s">
        <v>391</v>
      </c>
    </row>
    <row r="94" spans="2:14">
      <c r="B94" s="17"/>
      <c r="F94" s="154"/>
      <c r="G94" s="155" t="s">
        <v>392</v>
      </c>
      <c r="H94" s="156">
        <f>DASHBOARD!$D$72</f>
        <v>0.39</v>
      </c>
      <c r="I94" s="157">
        <v>1</v>
      </c>
      <c r="J94" s="155">
        <v>100</v>
      </c>
      <c r="K94" s="155"/>
      <c r="L94" s="158">
        <f>F88*H94*I94*J94</f>
        <v>0</v>
      </c>
      <c r="M94" s="1" t="s">
        <v>393</v>
      </c>
      <c r="N94" s="88" t="s">
        <v>394</v>
      </c>
    </row>
    <row r="95" spans="2:14">
      <c r="B95" s="16"/>
      <c r="C95" s="5"/>
      <c r="F95" s="2">
        <f>DASHBOARD!D128*(1-DASHBOARD!D123)</f>
        <v>0</v>
      </c>
      <c r="G95" s="41" t="s">
        <v>229</v>
      </c>
      <c r="H95" s="3">
        <f>DASHBOARD!$D$65</f>
        <v>42.91</v>
      </c>
      <c r="I95" s="32">
        <f>I97/8</f>
        <v>1</v>
      </c>
      <c r="J95" s="71">
        <f>J97</f>
        <v>11.659764152468941</v>
      </c>
      <c r="K95" s="11">
        <f>D25*F95*I95*J95</f>
        <v>0</v>
      </c>
      <c r="L95" s="6">
        <f>H95*I95*J95</f>
        <v>500.32047978244225</v>
      </c>
      <c r="N95" s="89"/>
    </row>
    <row r="96" spans="2:14" ht="31.5">
      <c r="B96" s="16"/>
      <c r="C96" s="5"/>
      <c r="F96" s="1" t="s">
        <v>468</v>
      </c>
      <c r="G96" s="42" t="s">
        <v>14</v>
      </c>
      <c r="H96" s="3">
        <f>DASHBOARD!$D$35</f>
        <v>24.612000000000002</v>
      </c>
      <c r="I96" s="32">
        <v>8</v>
      </c>
      <c r="J96" s="11">
        <f>J97</f>
        <v>11.659764152468941</v>
      </c>
      <c r="K96" s="11">
        <f>D25*F95*I96*J96</f>
        <v>0</v>
      </c>
      <c r="L96" s="6">
        <f t="shared" si="4"/>
        <v>2295.7609225645247</v>
      </c>
      <c r="M96" s="72" t="s">
        <v>269</v>
      </c>
      <c r="N96" s="87" t="s">
        <v>111</v>
      </c>
    </row>
    <row r="97" spans="2:14" ht="31.5">
      <c r="B97" s="16"/>
      <c r="C97" s="5"/>
      <c r="F97" s="2" t="s">
        <v>468</v>
      </c>
      <c r="G97" s="42" t="s">
        <v>6</v>
      </c>
      <c r="H97" s="3">
        <f>DASHBOARD!$D$40</f>
        <v>24.276</v>
      </c>
      <c r="I97" s="32">
        <v>8</v>
      </c>
      <c r="J97" s="11">
        <f>((45*$C$11+6*$C$5))/($C$25*(C5/C4))*100/60*(8/7)</f>
        <v>11.659764152468941</v>
      </c>
      <c r="K97" s="11">
        <f>D25*F95*I97*J97</f>
        <v>0</v>
      </c>
      <c r="L97" s="6">
        <f t="shared" si="4"/>
        <v>2264.419476522688</v>
      </c>
      <c r="M97" s="1" t="s">
        <v>293</v>
      </c>
      <c r="N97" s="87" t="s">
        <v>112</v>
      </c>
    </row>
    <row r="98" spans="2:14">
      <c r="B98" s="16"/>
      <c r="C98" s="5"/>
      <c r="G98" s="42" t="s">
        <v>27</v>
      </c>
      <c r="H98" s="3">
        <f>DASHBOARD!$D$39</f>
        <v>30</v>
      </c>
      <c r="I98" s="32">
        <v>8</v>
      </c>
      <c r="J98" s="53">
        <v>0</v>
      </c>
      <c r="K98" s="11">
        <f>D25*F95*I98*J98</f>
        <v>0</v>
      </c>
      <c r="L98" s="6">
        <f t="shared" si="4"/>
        <v>0</v>
      </c>
      <c r="M98" s="1" t="s">
        <v>260</v>
      </c>
      <c r="N98" s="87" t="s">
        <v>115</v>
      </c>
    </row>
    <row r="99" spans="2:14">
      <c r="B99" s="16"/>
      <c r="C99" s="5"/>
      <c r="G99" s="5" t="s">
        <v>8</v>
      </c>
      <c r="H99" s="7">
        <f>DASHBOARD!$D$56</f>
        <v>0.16259999999999999</v>
      </c>
      <c r="I99" s="34">
        <v>1</v>
      </c>
      <c r="J99" s="11">
        <f>4*J96</f>
        <v>46.639056609875766</v>
      </c>
      <c r="K99" s="11"/>
      <c r="L99" s="6">
        <f t="shared" si="4"/>
        <v>7.5835106047657996</v>
      </c>
      <c r="M99" s="1" t="s">
        <v>121</v>
      </c>
      <c r="N99" s="87" t="s">
        <v>116</v>
      </c>
    </row>
    <row r="100" spans="2:14">
      <c r="B100" s="16"/>
      <c r="C100" s="5"/>
      <c r="G100" s="5" t="s">
        <v>41</v>
      </c>
      <c r="H100" s="7">
        <f>DASHBOARD!$D$57</f>
        <v>3.95</v>
      </c>
      <c r="I100" s="34">
        <v>1</v>
      </c>
      <c r="J100" s="11">
        <f>(4*J97)+(4*J98)</f>
        <v>46.639056609875766</v>
      </c>
      <c r="K100" s="11"/>
      <c r="L100" s="6">
        <f t="shared" si="4"/>
        <v>184.22427360900929</v>
      </c>
      <c r="M100" s="1" t="s">
        <v>122</v>
      </c>
      <c r="N100" s="87" t="s">
        <v>117</v>
      </c>
    </row>
    <row r="101" spans="2:14">
      <c r="B101" s="16"/>
      <c r="C101" s="5"/>
      <c r="G101" s="5" t="s">
        <v>9</v>
      </c>
      <c r="H101" s="7">
        <f>DASHBOARD!$D$58</f>
        <v>13.95</v>
      </c>
      <c r="I101" s="34">
        <v>1</v>
      </c>
      <c r="J101" s="11">
        <f>(4*J97)+(4*J98)</f>
        <v>46.639056609875766</v>
      </c>
      <c r="K101" s="11"/>
      <c r="L101" s="6">
        <f t="shared" si="4"/>
        <v>650.61483970776692</v>
      </c>
      <c r="M101" s="1" t="s">
        <v>122</v>
      </c>
      <c r="N101" s="87" t="s">
        <v>118</v>
      </c>
    </row>
    <row r="102" spans="2:14">
      <c r="B102" s="16"/>
      <c r="C102" s="5"/>
      <c r="G102" s="5" t="s">
        <v>16</v>
      </c>
      <c r="H102" s="7">
        <f>DASHBOARD!$D$59</f>
        <v>0.23960000000000001</v>
      </c>
      <c r="I102" s="34">
        <v>1</v>
      </c>
      <c r="J102" s="12">
        <f>(4*J96)+(4*J98)+100</f>
        <v>146.63905660987575</v>
      </c>
      <c r="K102" s="11"/>
      <c r="L102" s="6">
        <f t="shared" si="4"/>
        <v>35.134717963726231</v>
      </c>
      <c r="M102" s="1" t="s">
        <v>123</v>
      </c>
      <c r="N102" s="87" t="s">
        <v>119</v>
      </c>
    </row>
    <row r="103" spans="2:14">
      <c r="B103" s="16"/>
      <c r="C103" s="5"/>
      <c r="G103" s="5" t="s">
        <v>10</v>
      </c>
      <c r="H103" s="7">
        <f>DASHBOARD!$D$60</f>
        <v>1.7004999999999999</v>
      </c>
      <c r="I103" s="34">
        <v>1</v>
      </c>
      <c r="J103" s="12">
        <f>(4*J98)+100</f>
        <v>100</v>
      </c>
      <c r="K103" s="12"/>
      <c r="L103" s="6">
        <f t="shared" si="4"/>
        <v>170.04999999999998</v>
      </c>
      <c r="M103" s="1" t="s">
        <v>124</v>
      </c>
      <c r="N103" s="87" t="s">
        <v>119</v>
      </c>
    </row>
    <row r="104" spans="2:14">
      <c r="B104" s="16"/>
      <c r="C104" s="5"/>
      <c r="G104" s="5" t="s">
        <v>273</v>
      </c>
      <c r="H104" s="7">
        <f>DASHBOARD!$D$63</f>
        <v>1.8685</v>
      </c>
      <c r="I104" s="34">
        <v>1</v>
      </c>
      <c r="J104" s="5">
        <v>100</v>
      </c>
      <c r="K104" s="5"/>
      <c r="L104" s="6">
        <f t="shared" si="4"/>
        <v>186.85</v>
      </c>
      <c r="M104" s="1" t="s">
        <v>270</v>
      </c>
      <c r="N104" s="89" t="s">
        <v>271</v>
      </c>
    </row>
    <row r="105" spans="2:14">
      <c r="B105" s="16"/>
      <c r="C105" s="5"/>
      <c r="F105" s="119">
        <f>DASHBOARD!$D$110</f>
        <v>0</v>
      </c>
      <c r="G105" s="120" t="s">
        <v>6</v>
      </c>
      <c r="H105" s="121">
        <f>DASHBOARD!$D$40</f>
        <v>24.276</v>
      </c>
      <c r="I105" s="122">
        <v>8</v>
      </c>
      <c r="J105" s="120">
        <f>0.625*F105*(8/7)</f>
        <v>0</v>
      </c>
      <c r="K105" s="120"/>
      <c r="L105" s="123">
        <f>F105*H105*I105*J105</f>
        <v>0</v>
      </c>
      <c r="M105" s="1" t="s">
        <v>287</v>
      </c>
      <c r="N105" s="89"/>
    </row>
    <row r="106" spans="2:14">
      <c r="B106" s="16"/>
      <c r="C106" s="5"/>
      <c r="F106" s="124" t="s">
        <v>281</v>
      </c>
      <c r="G106" s="120" t="s">
        <v>14</v>
      </c>
      <c r="H106" s="121">
        <f>DASHBOARD!$D$35</f>
        <v>24.612000000000002</v>
      </c>
      <c r="I106" s="122">
        <v>8</v>
      </c>
      <c r="J106" s="120">
        <f>0.625*(8/7)</f>
        <v>0.71428571428571419</v>
      </c>
      <c r="K106" s="120"/>
      <c r="L106" s="123">
        <f>F105*H106*I106*J106</f>
        <v>0</v>
      </c>
      <c r="M106" s="1" t="s">
        <v>287</v>
      </c>
      <c r="N106" s="89"/>
    </row>
    <row r="107" spans="2:14">
      <c r="B107" s="16"/>
      <c r="C107" s="5"/>
      <c r="F107" s="124"/>
      <c r="G107" s="120" t="s">
        <v>291</v>
      </c>
      <c r="H107" s="121">
        <f>DASHBOARD!$D$59</f>
        <v>0.23960000000000001</v>
      </c>
      <c r="I107" s="122">
        <v>1</v>
      </c>
      <c r="J107" s="120">
        <v>100</v>
      </c>
      <c r="K107" s="120"/>
      <c r="L107" s="123">
        <f>F105*H107*I107*J107</f>
        <v>0</v>
      </c>
      <c r="N107" s="89"/>
    </row>
    <row r="108" spans="2:14">
      <c r="B108" s="16"/>
      <c r="C108" s="5"/>
      <c r="F108" s="119"/>
      <c r="G108" s="120" t="s">
        <v>284</v>
      </c>
      <c r="H108" s="121">
        <v>10</v>
      </c>
      <c r="I108" s="122">
        <v>1</v>
      </c>
      <c r="J108" s="120">
        <v>100</v>
      </c>
      <c r="K108" s="120"/>
      <c r="L108" s="123">
        <f>F105*H108*I108*J108</f>
        <v>0</v>
      </c>
      <c r="M108" s="1" t="s">
        <v>290</v>
      </c>
      <c r="N108" s="89"/>
    </row>
    <row r="109" spans="2:14">
      <c r="B109" s="16"/>
      <c r="C109" s="5"/>
      <c r="F109" s="119"/>
      <c r="G109" s="120" t="s">
        <v>283</v>
      </c>
      <c r="H109" s="121">
        <v>0.84</v>
      </c>
      <c r="I109" s="122">
        <v>1</v>
      </c>
      <c r="J109" s="120">
        <v>100</v>
      </c>
      <c r="K109" s="120"/>
      <c r="L109" s="123">
        <f>F105*H109*I109*J109</f>
        <v>0</v>
      </c>
      <c r="M109" s="1" t="s">
        <v>288</v>
      </c>
      <c r="N109" s="88" t="s">
        <v>289</v>
      </c>
    </row>
    <row r="110" spans="2:14">
      <c r="B110" s="17"/>
      <c r="F110" s="154">
        <f>DASHBOARD!$D$112</f>
        <v>0</v>
      </c>
      <c r="G110" s="155" t="s">
        <v>386</v>
      </c>
      <c r="H110" s="156">
        <f>DASHBOARD!$D$42</f>
        <v>30</v>
      </c>
      <c r="I110" s="157">
        <v>8</v>
      </c>
      <c r="J110" s="155">
        <f>((DASHBOARD!$D$113*100)/480)*(8/7)</f>
        <v>1.1904761904761905</v>
      </c>
      <c r="K110" s="155">
        <f>D25*F95*F110*I110*J110</f>
        <v>0</v>
      </c>
      <c r="L110" s="158">
        <f>F110*H110*I110*J110</f>
        <v>0</v>
      </c>
      <c r="M110" s="1" t="s">
        <v>460</v>
      </c>
      <c r="N110" s="88" t="s">
        <v>387</v>
      </c>
    </row>
    <row r="111" spans="2:14">
      <c r="B111" s="17"/>
      <c r="F111" s="159" t="s">
        <v>281</v>
      </c>
      <c r="G111" s="155" t="s">
        <v>382</v>
      </c>
      <c r="H111" s="156">
        <f>DASHBOARD!$D$59</f>
        <v>0.23960000000000001</v>
      </c>
      <c r="I111" s="157">
        <v>1</v>
      </c>
      <c r="J111" s="155">
        <v>100</v>
      </c>
      <c r="K111" s="155"/>
      <c r="L111" s="158">
        <f>F110*H111*I111*J111</f>
        <v>0</v>
      </c>
      <c r="M111" s="1" t="s">
        <v>388</v>
      </c>
      <c r="N111" s="88"/>
    </row>
    <row r="112" spans="2:14">
      <c r="B112" s="17"/>
      <c r="F112" s="159" t="s">
        <v>380</v>
      </c>
      <c r="G112" s="155" t="s">
        <v>383</v>
      </c>
      <c r="H112" s="156">
        <f>DASHBOARD!$D$60</f>
        <v>1.7004999999999999</v>
      </c>
      <c r="I112" s="157">
        <v>1</v>
      </c>
      <c r="J112" s="155">
        <v>100</v>
      </c>
      <c r="K112" s="155"/>
      <c r="L112" s="158">
        <f>F110*H112*I112*J112</f>
        <v>0</v>
      </c>
      <c r="M112" s="1" t="s">
        <v>388</v>
      </c>
      <c r="N112" s="88"/>
    </row>
    <row r="113" spans="2:14">
      <c r="B113" s="17"/>
      <c r="F113" s="154"/>
      <c r="G113" s="155" t="s">
        <v>41</v>
      </c>
      <c r="H113" s="156">
        <f>DASHBOARD!$D$57</f>
        <v>3.95</v>
      </c>
      <c r="I113" s="157">
        <v>1</v>
      </c>
      <c r="J113" s="155">
        <f>I110*J110/2</f>
        <v>4.7619047619047619</v>
      </c>
      <c r="K113" s="155"/>
      <c r="L113" s="158">
        <f>F110*H113*I113*J113</f>
        <v>0</v>
      </c>
      <c r="M113" s="1" t="s">
        <v>385</v>
      </c>
      <c r="N113" s="88"/>
    </row>
    <row r="114" spans="2:14">
      <c r="B114" s="17"/>
      <c r="F114" s="154"/>
      <c r="G114" s="155" t="s">
        <v>384</v>
      </c>
      <c r="H114" s="156">
        <f>DASHBOARD!$D$58</f>
        <v>13.95</v>
      </c>
      <c r="I114" s="157">
        <v>1</v>
      </c>
      <c r="J114" s="155">
        <f>I110*J110/2</f>
        <v>4.7619047619047619</v>
      </c>
      <c r="K114" s="155"/>
      <c r="L114" s="158">
        <f>F110*H114*I114*J114</f>
        <v>0</v>
      </c>
      <c r="M114" s="1" t="s">
        <v>385</v>
      </c>
      <c r="N114" s="88"/>
    </row>
    <row r="115" spans="2:14">
      <c r="B115" s="17"/>
      <c r="F115" s="154"/>
      <c r="G115" s="155" t="s">
        <v>389</v>
      </c>
      <c r="H115" s="156">
        <f>DASHBOARD!$D$71</f>
        <v>2.2799999999999998</v>
      </c>
      <c r="I115" s="157">
        <v>1</v>
      </c>
      <c r="J115" s="155">
        <v>100</v>
      </c>
      <c r="K115" s="155"/>
      <c r="L115" s="158">
        <f>F110*H115*I115*J115</f>
        <v>0</v>
      </c>
      <c r="M115" s="1" t="s">
        <v>390</v>
      </c>
      <c r="N115" s="88" t="s">
        <v>391</v>
      </c>
    </row>
    <row r="116" spans="2:14">
      <c r="B116" s="17"/>
      <c r="F116" s="154"/>
      <c r="G116" s="155" t="s">
        <v>392</v>
      </c>
      <c r="H116" s="156">
        <f>DASHBOARD!$D$72</f>
        <v>0.39</v>
      </c>
      <c r="I116" s="157">
        <v>1</v>
      </c>
      <c r="J116" s="155">
        <v>100</v>
      </c>
      <c r="K116" s="155"/>
      <c r="L116" s="158">
        <f>F110*H116*I116*J116</f>
        <v>0</v>
      </c>
      <c r="M116" s="1" t="s">
        <v>393</v>
      </c>
      <c r="N116" s="88" t="s">
        <v>394</v>
      </c>
    </row>
    <row r="117" spans="2:14" ht="65.849999999999994" customHeight="1">
      <c r="B117" s="17"/>
      <c r="C117" s="26"/>
      <c r="D117" s="115">
        <f>IF(DASHBOARD!$D$139=1,(1-D25)*0.3,0)</f>
        <v>0</v>
      </c>
      <c r="E117" s="21" t="s">
        <v>257</v>
      </c>
      <c r="F117" s="2">
        <f>DASHBOARD!D123</f>
        <v>0</v>
      </c>
      <c r="G117" s="41" t="s">
        <v>14</v>
      </c>
      <c r="H117" s="7">
        <f>DASHBOARD!$D$35</f>
        <v>24.612000000000002</v>
      </c>
      <c r="I117" s="34">
        <v>8</v>
      </c>
      <c r="J117" s="5">
        <f>J143/2</f>
        <v>1.1428571428571428</v>
      </c>
      <c r="K117" s="11">
        <f>D117*F117*I117*J117</f>
        <v>0</v>
      </c>
      <c r="L117" s="6">
        <f t="shared" si="2"/>
        <v>225.024</v>
      </c>
      <c r="M117" s="1" t="s">
        <v>164</v>
      </c>
      <c r="N117" s="83" t="s">
        <v>111</v>
      </c>
    </row>
    <row r="118" spans="2:14" ht="37.35" customHeight="1">
      <c r="B118" s="17"/>
      <c r="G118" s="41" t="s">
        <v>17</v>
      </c>
      <c r="H118" s="7">
        <f>DASHBOARD!$D$36</f>
        <v>45.12</v>
      </c>
      <c r="I118" s="34">
        <v>8</v>
      </c>
      <c r="J118" s="5">
        <f>2*(8/7)</f>
        <v>2.2857142857142856</v>
      </c>
      <c r="K118" s="11">
        <f>D117*F117*I118*J118</f>
        <v>0</v>
      </c>
      <c r="L118" s="6">
        <f t="shared" si="2"/>
        <v>825.05142857142846</v>
      </c>
      <c r="N118" s="87" t="s">
        <v>112</v>
      </c>
    </row>
    <row r="119" spans="2:14">
      <c r="B119" s="17"/>
      <c r="G119" s="41" t="s">
        <v>12</v>
      </c>
      <c r="H119" s="7">
        <f>DASHBOARD!$D$37</f>
        <v>19.8</v>
      </c>
      <c r="I119" s="34">
        <v>8</v>
      </c>
      <c r="J119" s="5">
        <f>2*(8/7)</f>
        <v>2.2857142857142856</v>
      </c>
      <c r="K119" s="11">
        <f>D117*F117*I119*J119</f>
        <v>0</v>
      </c>
      <c r="L119" s="6">
        <f t="shared" si="2"/>
        <v>362.05714285714288</v>
      </c>
      <c r="N119" s="87" t="s">
        <v>113</v>
      </c>
    </row>
    <row r="120" spans="2:14">
      <c r="B120" s="17"/>
      <c r="G120" s="41" t="s">
        <v>13</v>
      </c>
      <c r="H120" s="7">
        <f>DASHBOARD!$D$38</f>
        <v>39.6</v>
      </c>
      <c r="I120" s="34">
        <v>8</v>
      </c>
      <c r="J120" s="5">
        <f>0.18*(8/7)</f>
        <v>0.20571428571428568</v>
      </c>
      <c r="K120" s="71">
        <f>D117*F117*I120*J120</f>
        <v>0</v>
      </c>
      <c r="L120" s="6">
        <f t="shared" si="2"/>
        <v>65.170285714285711</v>
      </c>
      <c r="N120" s="87" t="s">
        <v>114</v>
      </c>
    </row>
    <row r="121" spans="2:14">
      <c r="B121" s="17"/>
      <c r="G121" s="41" t="s">
        <v>449</v>
      </c>
      <c r="H121" s="7">
        <f>DASHBOARD!$D$46</f>
        <v>54.804000000000002</v>
      </c>
      <c r="I121" s="34">
        <v>8</v>
      </c>
      <c r="J121" s="5">
        <f>0.19*(8/7)</f>
        <v>0.21714285714285714</v>
      </c>
      <c r="K121" s="249">
        <f>D117*F117*I120*J120</f>
        <v>0</v>
      </c>
      <c r="L121" s="6">
        <f t="shared" si="2"/>
        <v>95.202377142857145</v>
      </c>
      <c r="N121" s="87" t="s">
        <v>115</v>
      </c>
    </row>
    <row r="122" spans="2:14">
      <c r="B122" s="17"/>
      <c r="G122" s="41" t="s">
        <v>325</v>
      </c>
      <c r="H122" s="7">
        <f>DASHBOARD!$D$43</f>
        <v>21.599999999999998</v>
      </c>
      <c r="I122" s="34">
        <v>8</v>
      </c>
      <c r="J122" s="5">
        <f>0.75*(8/7)</f>
        <v>0.8571428571428571</v>
      </c>
      <c r="K122" s="249">
        <f>D118*F118*I121*J121</f>
        <v>0</v>
      </c>
      <c r="L122" s="6">
        <f t="shared" si="2"/>
        <v>148.1142857142857</v>
      </c>
      <c r="N122" s="87"/>
    </row>
    <row r="123" spans="2:14">
      <c r="B123" s="17"/>
      <c r="G123" s="5" t="s">
        <v>8</v>
      </c>
      <c r="H123" s="7">
        <f>DASHBOARD!$D$56</f>
        <v>0.16259999999999999</v>
      </c>
      <c r="I123" s="34">
        <v>1</v>
      </c>
      <c r="J123" s="5">
        <v>8</v>
      </c>
      <c r="K123" s="5"/>
      <c r="L123" s="6">
        <f t="shared" si="2"/>
        <v>1.3008</v>
      </c>
      <c r="M123" s="1" t="s">
        <v>121</v>
      </c>
      <c r="N123" s="87" t="s">
        <v>116</v>
      </c>
    </row>
    <row r="124" spans="2:14">
      <c r="B124" s="17"/>
      <c r="G124" s="5" t="s">
        <v>41</v>
      </c>
      <c r="H124" s="7">
        <f>DASHBOARD!$D$57</f>
        <v>3.95</v>
      </c>
      <c r="I124" s="34">
        <v>1</v>
      </c>
      <c r="J124" s="5">
        <v>8</v>
      </c>
      <c r="K124" s="5"/>
      <c r="L124" s="6">
        <f t="shared" si="2"/>
        <v>31.6</v>
      </c>
      <c r="M124" s="1" t="s">
        <v>122</v>
      </c>
      <c r="N124" s="87" t="s">
        <v>117</v>
      </c>
    </row>
    <row r="125" spans="2:14">
      <c r="B125" s="17"/>
      <c r="G125" s="5" t="s">
        <v>9</v>
      </c>
      <c r="H125" s="7">
        <f>DASHBOARD!$D$58</f>
        <v>13.95</v>
      </c>
      <c r="I125" s="34">
        <v>1</v>
      </c>
      <c r="J125" s="5">
        <v>11</v>
      </c>
      <c r="K125" s="5"/>
      <c r="L125" s="6">
        <f t="shared" si="2"/>
        <v>153.44999999999999</v>
      </c>
      <c r="M125" s="1" t="s">
        <v>122</v>
      </c>
      <c r="N125" s="87" t="s">
        <v>118</v>
      </c>
    </row>
    <row r="126" spans="2:14">
      <c r="B126" s="17"/>
      <c r="G126" s="5" t="s">
        <v>16</v>
      </c>
      <c r="H126" s="7">
        <f>DASHBOARD!$D$59</f>
        <v>0.23960000000000001</v>
      </c>
      <c r="I126" s="34">
        <v>1</v>
      </c>
      <c r="J126" s="5">
        <v>208</v>
      </c>
      <c r="K126" s="5"/>
      <c r="L126" s="6">
        <f t="shared" si="2"/>
        <v>49.836800000000004</v>
      </c>
      <c r="M126" s="1" t="s">
        <v>123</v>
      </c>
      <c r="N126" s="87" t="s">
        <v>119</v>
      </c>
    </row>
    <row r="127" spans="2:14">
      <c r="B127" s="17"/>
      <c r="G127" s="5" t="s">
        <v>10</v>
      </c>
      <c r="H127" s="7">
        <f>DASHBOARD!$D$60</f>
        <v>1.7004999999999999</v>
      </c>
      <c r="I127" s="34">
        <v>1</v>
      </c>
      <c r="J127" s="5">
        <v>200</v>
      </c>
      <c r="K127" s="5"/>
      <c r="L127" s="6">
        <f t="shared" si="2"/>
        <v>340.09999999999997</v>
      </c>
      <c r="M127" s="1" t="s">
        <v>124</v>
      </c>
      <c r="N127" s="87" t="s">
        <v>119</v>
      </c>
    </row>
    <row r="128" spans="2:14">
      <c r="B128" s="17"/>
      <c r="G128" s="5" t="s">
        <v>144</v>
      </c>
      <c r="H128" s="7">
        <f>DASHBOARD!$D$61</f>
        <v>3.32</v>
      </c>
      <c r="I128" s="34">
        <v>1</v>
      </c>
      <c r="J128" s="5">
        <v>100</v>
      </c>
      <c r="K128" s="5"/>
      <c r="L128" s="6">
        <f t="shared" si="2"/>
        <v>332</v>
      </c>
      <c r="M128" s="1" t="s">
        <v>145</v>
      </c>
      <c r="N128" s="89" t="s">
        <v>147</v>
      </c>
    </row>
    <row r="129" spans="2:14">
      <c r="B129" s="17"/>
      <c r="G129" s="5" t="s">
        <v>11</v>
      </c>
      <c r="H129" s="7">
        <f>DASHBOARD!$D$62</f>
        <v>0.72</v>
      </c>
      <c r="I129" s="34">
        <v>1</v>
      </c>
      <c r="J129" s="5">
        <f>100</f>
        <v>100</v>
      </c>
      <c r="K129" s="5"/>
      <c r="L129" s="6">
        <f t="shared" si="2"/>
        <v>72</v>
      </c>
      <c r="M129" s="1" t="s">
        <v>146</v>
      </c>
      <c r="N129" s="89" t="s">
        <v>148</v>
      </c>
    </row>
    <row r="130" spans="2:14">
      <c r="B130" s="17"/>
      <c r="G130" s="42" t="s">
        <v>202</v>
      </c>
      <c r="H130" s="3">
        <v>0</v>
      </c>
      <c r="I130" s="32">
        <v>1</v>
      </c>
      <c r="J130" s="11">
        <v>100</v>
      </c>
      <c r="K130" s="11"/>
      <c r="L130" s="6">
        <f>H130*I130*J130</f>
        <v>0</v>
      </c>
      <c r="N130" s="89"/>
    </row>
    <row r="131" spans="2:14">
      <c r="B131" s="17"/>
      <c r="F131" s="119">
        <f>DASHBOARD!$D$110</f>
        <v>0</v>
      </c>
      <c r="G131" s="120" t="s">
        <v>17</v>
      </c>
      <c r="H131" s="121">
        <f>DASHBOARD!$D$36</f>
        <v>45.12</v>
      </c>
      <c r="I131" s="122">
        <v>8</v>
      </c>
      <c r="J131" s="120">
        <f>0.625*F131*(8/7)</f>
        <v>0</v>
      </c>
      <c r="K131" s="120"/>
      <c r="L131" s="123">
        <f>F131*H131*I131*J131</f>
        <v>0</v>
      </c>
      <c r="M131" s="1" t="s">
        <v>287</v>
      </c>
      <c r="N131" s="89"/>
    </row>
    <row r="132" spans="2:14">
      <c r="B132" s="17"/>
      <c r="F132" s="124" t="s">
        <v>281</v>
      </c>
      <c r="G132" s="120" t="s">
        <v>14</v>
      </c>
      <c r="H132" s="121">
        <f>DASHBOARD!$D$35</f>
        <v>24.612000000000002</v>
      </c>
      <c r="I132" s="122">
        <v>8</v>
      </c>
      <c r="J132" s="120">
        <f>0.625*(8/7)</f>
        <v>0.71428571428571419</v>
      </c>
      <c r="K132" s="120"/>
      <c r="L132" s="123">
        <f>F131*H132*I132*J132</f>
        <v>0</v>
      </c>
      <c r="M132" s="1" t="s">
        <v>287</v>
      </c>
      <c r="N132" s="89"/>
    </row>
    <row r="133" spans="2:14">
      <c r="B133" s="17"/>
      <c r="F133" s="124"/>
      <c r="G133" s="120" t="s">
        <v>291</v>
      </c>
      <c r="H133" s="121">
        <f>DASHBOARD!$D$59</f>
        <v>0.23960000000000001</v>
      </c>
      <c r="I133" s="122">
        <v>1</v>
      </c>
      <c r="J133" s="120">
        <v>100</v>
      </c>
      <c r="K133" s="120"/>
      <c r="L133" s="123">
        <f>F131*H133*I133*J133</f>
        <v>0</v>
      </c>
      <c r="N133" s="89"/>
    </row>
    <row r="134" spans="2:14">
      <c r="B134" s="17"/>
      <c r="F134" s="119"/>
      <c r="G134" s="120" t="s">
        <v>284</v>
      </c>
      <c r="H134" s="121">
        <v>10</v>
      </c>
      <c r="I134" s="122">
        <v>1</v>
      </c>
      <c r="J134" s="120">
        <v>100</v>
      </c>
      <c r="K134" s="120"/>
      <c r="L134" s="123">
        <f>F131*H134*I134*J134</f>
        <v>0</v>
      </c>
      <c r="M134" s="1" t="s">
        <v>290</v>
      </c>
      <c r="N134" s="89"/>
    </row>
    <row r="135" spans="2:14">
      <c r="B135" s="17"/>
      <c r="F135" s="119"/>
      <c r="G135" s="120" t="s">
        <v>283</v>
      </c>
      <c r="H135" s="121">
        <v>0.84</v>
      </c>
      <c r="I135" s="122">
        <v>1</v>
      </c>
      <c r="J135" s="120">
        <v>100</v>
      </c>
      <c r="K135" s="120"/>
      <c r="L135" s="123">
        <f>F131*H135*I135*J135</f>
        <v>0</v>
      </c>
      <c r="M135" s="1" t="s">
        <v>288</v>
      </c>
      <c r="N135" s="88" t="s">
        <v>289</v>
      </c>
    </row>
    <row r="136" spans="2:14">
      <c r="B136" s="17"/>
      <c r="F136" s="154">
        <f>DASHBOARD!$D$112</f>
        <v>0</v>
      </c>
      <c r="G136" s="155" t="s">
        <v>386</v>
      </c>
      <c r="H136" s="156">
        <f>DASHBOARD!$D$42</f>
        <v>30</v>
      </c>
      <c r="I136" s="157">
        <v>8</v>
      </c>
      <c r="J136" s="155">
        <f>((DASHBOARD!$D$113*100)/480)*(8/7)</f>
        <v>1.1904761904761905</v>
      </c>
      <c r="K136" s="155">
        <f>D117*F117*F136*I136*J136</f>
        <v>0</v>
      </c>
      <c r="L136" s="158">
        <f>F136*H136*I136*J136</f>
        <v>0</v>
      </c>
      <c r="M136" s="1" t="s">
        <v>460</v>
      </c>
      <c r="N136" s="88" t="s">
        <v>387</v>
      </c>
    </row>
    <row r="137" spans="2:14">
      <c r="B137" s="17"/>
      <c r="F137" s="159" t="s">
        <v>281</v>
      </c>
      <c r="G137" s="155" t="s">
        <v>382</v>
      </c>
      <c r="H137" s="156">
        <f>DASHBOARD!$D$59</f>
        <v>0.23960000000000001</v>
      </c>
      <c r="I137" s="157">
        <v>1</v>
      </c>
      <c r="J137" s="155">
        <v>100</v>
      </c>
      <c r="K137" s="155"/>
      <c r="L137" s="158">
        <f>F136*H137*I137*J137</f>
        <v>0</v>
      </c>
      <c r="M137" s="1" t="s">
        <v>388</v>
      </c>
      <c r="N137" s="88"/>
    </row>
    <row r="138" spans="2:14">
      <c r="B138" s="17"/>
      <c r="F138" s="159" t="s">
        <v>380</v>
      </c>
      <c r="G138" s="155" t="s">
        <v>383</v>
      </c>
      <c r="H138" s="156">
        <f>DASHBOARD!$D$60</f>
        <v>1.7004999999999999</v>
      </c>
      <c r="I138" s="157">
        <v>1</v>
      </c>
      <c r="J138" s="155">
        <v>100</v>
      </c>
      <c r="K138" s="155"/>
      <c r="L138" s="158">
        <f>F136*H138*I138*J138</f>
        <v>0</v>
      </c>
      <c r="M138" s="1" t="s">
        <v>388</v>
      </c>
      <c r="N138" s="88"/>
    </row>
    <row r="139" spans="2:14">
      <c r="B139" s="17"/>
      <c r="F139" s="154"/>
      <c r="G139" s="155" t="s">
        <v>41</v>
      </c>
      <c r="H139" s="156">
        <f>DASHBOARD!$D$57</f>
        <v>3.95</v>
      </c>
      <c r="I139" s="157">
        <v>1</v>
      </c>
      <c r="J139" s="155">
        <f>I136*J136/2</f>
        <v>4.7619047619047619</v>
      </c>
      <c r="K139" s="155"/>
      <c r="L139" s="158">
        <f>F136*H139*I139*J139</f>
        <v>0</v>
      </c>
      <c r="M139" s="1" t="s">
        <v>385</v>
      </c>
      <c r="N139" s="88"/>
    </row>
    <row r="140" spans="2:14">
      <c r="B140" s="17"/>
      <c r="F140" s="154"/>
      <c r="G140" s="155" t="s">
        <v>384</v>
      </c>
      <c r="H140" s="156">
        <f>DASHBOARD!$D$58</f>
        <v>13.95</v>
      </c>
      <c r="I140" s="157">
        <v>1</v>
      </c>
      <c r="J140" s="155">
        <f>I136*J136/2</f>
        <v>4.7619047619047619</v>
      </c>
      <c r="K140" s="155"/>
      <c r="L140" s="158">
        <f>F136*H140*I140*J140</f>
        <v>0</v>
      </c>
      <c r="M140" s="1" t="s">
        <v>385</v>
      </c>
      <c r="N140" s="88"/>
    </row>
    <row r="141" spans="2:14">
      <c r="B141" s="17"/>
      <c r="F141" s="154"/>
      <c r="G141" s="155" t="s">
        <v>389</v>
      </c>
      <c r="H141" s="156">
        <f>DASHBOARD!$D$71</f>
        <v>2.2799999999999998</v>
      </c>
      <c r="I141" s="157">
        <v>1</v>
      </c>
      <c r="J141" s="155">
        <v>100</v>
      </c>
      <c r="K141" s="155"/>
      <c r="L141" s="158">
        <f>F136*H141*I141*J141</f>
        <v>0</v>
      </c>
      <c r="M141" s="1" t="s">
        <v>390</v>
      </c>
      <c r="N141" s="88" t="s">
        <v>391</v>
      </c>
    </row>
    <row r="142" spans="2:14">
      <c r="B142" s="17"/>
      <c r="F142" s="154"/>
      <c r="G142" s="155" t="s">
        <v>392</v>
      </c>
      <c r="H142" s="156">
        <f>DASHBOARD!$D$72</f>
        <v>0.39</v>
      </c>
      <c r="I142" s="157">
        <v>1</v>
      </c>
      <c r="J142" s="155">
        <v>100</v>
      </c>
      <c r="K142" s="155"/>
      <c r="L142" s="158">
        <f>F136*H142*I142*J142</f>
        <v>0</v>
      </c>
      <c r="M142" s="1" t="s">
        <v>393</v>
      </c>
      <c r="N142" s="88" t="s">
        <v>394</v>
      </c>
    </row>
    <row r="143" spans="2:14" ht="63">
      <c r="B143" s="17"/>
      <c r="F143" s="2">
        <f>1-F117</f>
        <v>1</v>
      </c>
      <c r="G143" s="41" t="s">
        <v>14</v>
      </c>
      <c r="H143" s="7">
        <f>DASHBOARD!D133</f>
        <v>1</v>
      </c>
      <c r="I143" s="34">
        <v>6</v>
      </c>
      <c r="J143" s="5">
        <f>2*(8/7)</f>
        <v>2.2857142857142856</v>
      </c>
      <c r="K143" s="11">
        <f>D117*F143*I143*J143</f>
        <v>0</v>
      </c>
      <c r="L143" s="6">
        <f>H143*I143*J143</f>
        <v>13.714285714285714</v>
      </c>
      <c r="M143" s="1" t="s">
        <v>165</v>
      </c>
      <c r="N143" s="83" t="s">
        <v>111</v>
      </c>
    </row>
    <row r="144" spans="2:14">
      <c r="B144" s="17"/>
      <c r="G144" s="41" t="s">
        <v>17</v>
      </c>
      <c r="H144" s="7">
        <f>DASHBOARD!$D$36</f>
        <v>45.12</v>
      </c>
      <c r="I144" s="34">
        <v>8</v>
      </c>
      <c r="J144" s="5">
        <f>2*(8/7)</f>
        <v>2.2857142857142856</v>
      </c>
      <c r="K144" s="11">
        <f>D117*F143*I144*J144</f>
        <v>0</v>
      </c>
      <c r="L144" s="6">
        <f>H144*I144*J144</f>
        <v>825.05142857142846</v>
      </c>
      <c r="N144" s="87" t="s">
        <v>112</v>
      </c>
    </row>
    <row r="145" spans="2:14">
      <c r="B145" s="17"/>
      <c r="G145" s="41" t="s">
        <v>12</v>
      </c>
      <c r="H145" s="7">
        <f>DASHBOARD!$D$37</f>
        <v>19.8</v>
      </c>
      <c r="I145" s="34">
        <v>8</v>
      </c>
      <c r="J145" s="5">
        <f>2*(8/7)</f>
        <v>2.2857142857142856</v>
      </c>
      <c r="K145" s="11">
        <f>D117*F143*I145*J145</f>
        <v>0</v>
      </c>
      <c r="L145" s="6">
        <f t="shared" ref="L145:L155" si="5">H145*I145*J145</f>
        <v>362.05714285714288</v>
      </c>
      <c r="N145" s="87" t="s">
        <v>113</v>
      </c>
    </row>
    <row r="146" spans="2:14">
      <c r="B146" s="17"/>
      <c r="G146" s="41" t="s">
        <v>13</v>
      </c>
      <c r="H146" s="7">
        <f>DASHBOARD!$D$38</f>
        <v>39.6</v>
      </c>
      <c r="I146" s="34">
        <v>8</v>
      </c>
      <c r="J146" s="5">
        <f>0.18*(8/7)</f>
        <v>0.20571428571428568</v>
      </c>
      <c r="K146" s="71">
        <f>D117*F143*I146*J146</f>
        <v>0</v>
      </c>
      <c r="L146" s="6">
        <f t="shared" si="5"/>
        <v>65.170285714285711</v>
      </c>
      <c r="N146" s="87" t="s">
        <v>114</v>
      </c>
    </row>
    <row r="147" spans="2:14">
      <c r="B147" s="17"/>
      <c r="G147" s="41" t="s">
        <v>449</v>
      </c>
      <c r="H147" s="7">
        <f>DASHBOARD!$D$46</f>
        <v>54.804000000000002</v>
      </c>
      <c r="I147" s="34">
        <v>8</v>
      </c>
      <c r="J147" s="5">
        <f>0.19*(8/7)</f>
        <v>0.21714285714285714</v>
      </c>
      <c r="K147" s="249">
        <f>D117*F143*I147*J147</f>
        <v>0</v>
      </c>
      <c r="L147" s="6">
        <f>H147*I147*J147</f>
        <v>95.202377142857145</v>
      </c>
      <c r="N147" s="87" t="s">
        <v>115</v>
      </c>
    </row>
    <row r="148" spans="2:14">
      <c r="B148" s="17"/>
      <c r="G148" s="41" t="s">
        <v>325</v>
      </c>
      <c r="H148" s="7">
        <f>DASHBOARD!$D$43</f>
        <v>21.599999999999998</v>
      </c>
      <c r="I148" s="34">
        <v>8</v>
      </c>
      <c r="J148" s="5">
        <f>0.75*(8/7)</f>
        <v>0.8571428571428571</v>
      </c>
      <c r="K148" s="249">
        <f>D118*F144*I148*J148</f>
        <v>0</v>
      </c>
      <c r="L148" s="6">
        <f>H148*I148*J148</f>
        <v>148.1142857142857</v>
      </c>
      <c r="N148" s="87"/>
    </row>
    <row r="149" spans="2:14">
      <c r="B149" s="17"/>
      <c r="G149" s="5" t="s">
        <v>8</v>
      </c>
      <c r="H149" s="7">
        <f>DASHBOARD!$D$56</f>
        <v>0.16259999999999999</v>
      </c>
      <c r="I149" s="34">
        <v>1</v>
      </c>
      <c r="J149" s="5">
        <v>8</v>
      </c>
      <c r="K149" s="5"/>
      <c r="L149" s="6">
        <f t="shared" si="5"/>
        <v>1.3008</v>
      </c>
      <c r="M149" s="1" t="s">
        <v>121</v>
      </c>
      <c r="N149" s="87" t="s">
        <v>116</v>
      </c>
    </row>
    <row r="150" spans="2:14">
      <c r="B150" s="17"/>
      <c r="G150" s="5" t="s">
        <v>41</v>
      </c>
      <c r="H150" s="7">
        <f>DASHBOARD!$D$57</f>
        <v>3.95</v>
      </c>
      <c r="I150" s="34">
        <v>1</v>
      </c>
      <c r="J150" s="5">
        <v>8</v>
      </c>
      <c r="K150" s="5"/>
      <c r="L150" s="6">
        <f t="shared" si="5"/>
        <v>31.6</v>
      </c>
      <c r="M150" s="1" t="s">
        <v>122</v>
      </c>
      <c r="N150" s="87" t="s">
        <v>117</v>
      </c>
    </row>
    <row r="151" spans="2:14">
      <c r="B151" s="17"/>
      <c r="G151" s="5" t="s">
        <v>9</v>
      </c>
      <c r="H151" s="7">
        <f>DASHBOARD!$D$58</f>
        <v>13.95</v>
      </c>
      <c r="I151" s="34">
        <v>1</v>
      </c>
      <c r="J151" s="5">
        <v>11</v>
      </c>
      <c r="K151" s="5"/>
      <c r="L151" s="6">
        <f t="shared" si="5"/>
        <v>153.44999999999999</v>
      </c>
      <c r="M151" s="1" t="s">
        <v>122</v>
      </c>
      <c r="N151" s="87" t="s">
        <v>118</v>
      </c>
    </row>
    <row r="152" spans="2:14">
      <c r="B152" s="17"/>
      <c r="G152" s="5" t="s">
        <v>16</v>
      </c>
      <c r="H152" s="7">
        <f>DASHBOARD!$D$59</f>
        <v>0.23960000000000001</v>
      </c>
      <c r="I152" s="34">
        <v>1</v>
      </c>
      <c r="J152" s="5">
        <v>208</v>
      </c>
      <c r="K152" s="5"/>
      <c r="L152" s="6">
        <f t="shared" si="5"/>
        <v>49.836800000000004</v>
      </c>
      <c r="M152" s="1" t="s">
        <v>123</v>
      </c>
      <c r="N152" s="87" t="s">
        <v>119</v>
      </c>
    </row>
    <row r="153" spans="2:14">
      <c r="B153" s="17"/>
      <c r="G153" s="5" t="s">
        <v>10</v>
      </c>
      <c r="H153" s="7">
        <f>DASHBOARD!$D$60</f>
        <v>1.7004999999999999</v>
      </c>
      <c r="I153" s="34">
        <v>1</v>
      </c>
      <c r="J153" s="5">
        <v>200</v>
      </c>
      <c r="K153" s="5"/>
      <c r="L153" s="6">
        <f t="shared" si="5"/>
        <v>340.09999999999997</v>
      </c>
      <c r="M153" s="1" t="s">
        <v>124</v>
      </c>
      <c r="N153" s="87" t="s">
        <v>119</v>
      </c>
    </row>
    <row r="154" spans="2:14">
      <c r="B154" s="17"/>
      <c r="G154" s="5" t="s">
        <v>144</v>
      </c>
      <c r="H154" s="7">
        <f>DASHBOARD!$D$61</f>
        <v>3.32</v>
      </c>
      <c r="I154" s="34">
        <v>1</v>
      </c>
      <c r="J154" s="5">
        <v>100</v>
      </c>
      <c r="K154" s="5"/>
      <c r="L154" s="6">
        <f t="shared" si="5"/>
        <v>332</v>
      </c>
      <c r="M154" s="1" t="s">
        <v>145</v>
      </c>
      <c r="N154" s="89" t="s">
        <v>147</v>
      </c>
    </row>
    <row r="155" spans="2:14">
      <c r="B155" s="17"/>
      <c r="G155" s="5" t="s">
        <v>11</v>
      </c>
      <c r="H155" s="7">
        <f>DASHBOARD!$D$62</f>
        <v>0.72</v>
      </c>
      <c r="I155" s="34">
        <v>1</v>
      </c>
      <c r="J155" s="5">
        <f>100</f>
        <v>100</v>
      </c>
      <c r="K155" s="5"/>
      <c r="L155" s="6">
        <f t="shared" si="5"/>
        <v>72</v>
      </c>
      <c r="M155" s="1" t="s">
        <v>146</v>
      </c>
      <c r="N155" s="89" t="s">
        <v>148</v>
      </c>
    </row>
    <row r="156" spans="2:14">
      <c r="B156" s="17"/>
      <c r="G156" s="42" t="s">
        <v>202</v>
      </c>
      <c r="H156" s="3">
        <v>0</v>
      </c>
      <c r="I156" s="32">
        <v>1</v>
      </c>
      <c r="J156" s="11">
        <v>100</v>
      </c>
      <c r="K156" s="11"/>
      <c r="L156" s="6">
        <f>H156*I156*J156</f>
        <v>0</v>
      </c>
      <c r="N156" s="89"/>
    </row>
    <row r="157" spans="2:14">
      <c r="B157" s="17"/>
      <c r="F157" s="119">
        <f>DASHBOARD!$D$110</f>
        <v>0</v>
      </c>
      <c r="G157" s="120" t="s">
        <v>17</v>
      </c>
      <c r="H157" s="121">
        <f>DASHBOARD!$D$36</f>
        <v>45.12</v>
      </c>
      <c r="I157" s="122">
        <v>8</v>
      </c>
      <c r="J157" s="120">
        <f>0.625*F157*(8/7)</f>
        <v>0</v>
      </c>
      <c r="K157" s="120"/>
      <c r="L157" s="123">
        <f>F157*H157*I157*J157</f>
        <v>0</v>
      </c>
      <c r="M157" s="1" t="s">
        <v>287</v>
      </c>
      <c r="N157" s="89"/>
    </row>
    <row r="158" spans="2:14">
      <c r="B158" s="17"/>
      <c r="F158" s="124" t="s">
        <v>281</v>
      </c>
      <c r="G158" s="120" t="s">
        <v>14</v>
      </c>
      <c r="H158" s="121">
        <f>DASHBOARD!$D$35</f>
        <v>24.612000000000002</v>
      </c>
      <c r="I158" s="122">
        <v>8</v>
      </c>
      <c r="J158" s="120">
        <f>0.625*(8/7)</f>
        <v>0.71428571428571419</v>
      </c>
      <c r="K158" s="120"/>
      <c r="L158" s="123">
        <f>F157*H158*I158*J158</f>
        <v>0</v>
      </c>
      <c r="M158" s="1" t="s">
        <v>287</v>
      </c>
      <c r="N158" s="89"/>
    </row>
    <row r="159" spans="2:14">
      <c r="B159" s="17"/>
      <c r="F159" s="124"/>
      <c r="G159" s="120" t="s">
        <v>291</v>
      </c>
      <c r="H159" s="121">
        <f>DASHBOARD!$D$59</f>
        <v>0.23960000000000001</v>
      </c>
      <c r="I159" s="122">
        <v>1</v>
      </c>
      <c r="J159" s="120">
        <v>100</v>
      </c>
      <c r="K159" s="120"/>
      <c r="L159" s="123">
        <f>F157*H159*I159*J159</f>
        <v>0</v>
      </c>
      <c r="N159" s="89"/>
    </row>
    <row r="160" spans="2:14">
      <c r="B160" s="17"/>
      <c r="F160" s="119"/>
      <c r="G160" s="120" t="s">
        <v>284</v>
      </c>
      <c r="H160" s="121">
        <v>10</v>
      </c>
      <c r="I160" s="122">
        <v>1</v>
      </c>
      <c r="J160" s="120">
        <v>100</v>
      </c>
      <c r="K160" s="120"/>
      <c r="L160" s="123">
        <f>F157*H160*I160*J160</f>
        <v>0</v>
      </c>
      <c r="M160" s="1" t="s">
        <v>290</v>
      </c>
      <c r="N160" s="89"/>
    </row>
    <row r="161" spans="2:14">
      <c r="B161" s="17"/>
      <c r="F161" s="119"/>
      <c r="G161" s="120" t="s">
        <v>283</v>
      </c>
      <c r="H161" s="121">
        <v>0.84</v>
      </c>
      <c r="I161" s="122">
        <v>1</v>
      </c>
      <c r="J161" s="120">
        <v>100</v>
      </c>
      <c r="K161" s="120"/>
      <c r="L161" s="123">
        <f>F157*H161*I161*J161</f>
        <v>0</v>
      </c>
      <c r="M161" s="1" t="s">
        <v>288</v>
      </c>
      <c r="N161" s="88" t="s">
        <v>289</v>
      </c>
    </row>
    <row r="162" spans="2:14">
      <c r="B162" s="17"/>
      <c r="F162" s="154">
        <f>DASHBOARD!$D$112</f>
        <v>0</v>
      </c>
      <c r="G162" s="155" t="s">
        <v>386</v>
      </c>
      <c r="H162" s="156">
        <f>DASHBOARD!$D$42</f>
        <v>30</v>
      </c>
      <c r="I162" s="157">
        <v>8</v>
      </c>
      <c r="J162" s="155">
        <f>((DASHBOARD!$D$113*100)/480)*(8/7)</f>
        <v>1.1904761904761905</v>
      </c>
      <c r="K162" s="155">
        <f>D17*F143*F162*I162*J162</f>
        <v>0</v>
      </c>
      <c r="L162" s="158">
        <f>F162*H162*I162*J162</f>
        <v>0</v>
      </c>
      <c r="M162" s="1" t="s">
        <v>460</v>
      </c>
      <c r="N162" s="88" t="s">
        <v>387</v>
      </c>
    </row>
    <row r="163" spans="2:14">
      <c r="B163" s="17"/>
      <c r="F163" s="159" t="s">
        <v>281</v>
      </c>
      <c r="G163" s="155" t="s">
        <v>382</v>
      </c>
      <c r="H163" s="156">
        <f>DASHBOARD!$D$59</f>
        <v>0.23960000000000001</v>
      </c>
      <c r="I163" s="157">
        <v>1</v>
      </c>
      <c r="J163" s="155">
        <v>100</v>
      </c>
      <c r="K163" s="155"/>
      <c r="L163" s="158">
        <f>F162*H163*I163*J163</f>
        <v>0</v>
      </c>
      <c r="M163" s="1" t="s">
        <v>388</v>
      </c>
      <c r="N163" s="88"/>
    </row>
    <row r="164" spans="2:14">
      <c r="B164" s="17"/>
      <c r="F164" s="159" t="s">
        <v>380</v>
      </c>
      <c r="G164" s="155" t="s">
        <v>383</v>
      </c>
      <c r="H164" s="156">
        <f>DASHBOARD!$D$60</f>
        <v>1.7004999999999999</v>
      </c>
      <c r="I164" s="157">
        <v>1</v>
      </c>
      <c r="J164" s="155">
        <v>100</v>
      </c>
      <c r="K164" s="155"/>
      <c r="L164" s="158">
        <f>F162*H164*I164*J164</f>
        <v>0</v>
      </c>
      <c r="M164" s="1" t="s">
        <v>388</v>
      </c>
      <c r="N164" s="88"/>
    </row>
    <row r="165" spans="2:14">
      <c r="B165" s="17"/>
      <c r="F165" s="154"/>
      <c r="G165" s="155" t="s">
        <v>41</v>
      </c>
      <c r="H165" s="156">
        <f>DASHBOARD!$D$57</f>
        <v>3.95</v>
      </c>
      <c r="I165" s="157">
        <v>1</v>
      </c>
      <c r="J165" s="155">
        <f>I162*J162/2</f>
        <v>4.7619047619047619</v>
      </c>
      <c r="K165" s="155"/>
      <c r="L165" s="158">
        <f>F162*H165*I165*J165</f>
        <v>0</v>
      </c>
      <c r="M165" s="1" t="s">
        <v>385</v>
      </c>
      <c r="N165" s="88"/>
    </row>
    <row r="166" spans="2:14">
      <c r="B166" s="17"/>
      <c r="F166" s="154"/>
      <c r="G166" s="155" t="s">
        <v>384</v>
      </c>
      <c r="H166" s="156">
        <f>DASHBOARD!$D$58</f>
        <v>13.95</v>
      </c>
      <c r="I166" s="157">
        <v>1</v>
      </c>
      <c r="J166" s="155">
        <f>I162*J162/2</f>
        <v>4.7619047619047619</v>
      </c>
      <c r="K166" s="155"/>
      <c r="L166" s="158">
        <f>F162*H166*I166*J166</f>
        <v>0</v>
      </c>
      <c r="M166" s="1" t="s">
        <v>385</v>
      </c>
      <c r="N166" s="88"/>
    </row>
    <row r="167" spans="2:14">
      <c r="B167" s="17"/>
      <c r="F167" s="154"/>
      <c r="G167" s="155" t="s">
        <v>389</v>
      </c>
      <c r="H167" s="156">
        <f>DASHBOARD!$D$71</f>
        <v>2.2799999999999998</v>
      </c>
      <c r="I167" s="157">
        <v>1</v>
      </c>
      <c r="J167" s="155">
        <v>100</v>
      </c>
      <c r="K167" s="155"/>
      <c r="L167" s="158">
        <f>F162*H167*I167*J167</f>
        <v>0</v>
      </c>
      <c r="M167" s="1" t="s">
        <v>390</v>
      </c>
      <c r="N167" s="88" t="s">
        <v>391</v>
      </c>
    </row>
    <row r="168" spans="2:14">
      <c r="B168" s="17"/>
      <c r="F168" s="154"/>
      <c r="G168" s="155" t="s">
        <v>392</v>
      </c>
      <c r="H168" s="156">
        <f>DASHBOARD!$D$72</f>
        <v>0.39</v>
      </c>
      <c r="I168" s="157">
        <v>1</v>
      </c>
      <c r="J168" s="155">
        <v>100</v>
      </c>
      <c r="K168" s="155"/>
      <c r="L168" s="158">
        <f>F162*H168*I168*J168</f>
        <v>0</v>
      </c>
      <c r="M168" s="1" t="s">
        <v>393</v>
      </c>
      <c r="N168" s="88" t="s">
        <v>394</v>
      </c>
    </row>
    <row r="169" spans="2:14" ht="47.25">
      <c r="B169" s="17"/>
      <c r="D169" s="115">
        <f>IF(DASHBOARD!$D$139=1,(1-D25)*0.7,0)</f>
        <v>0</v>
      </c>
      <c r="E169" s="21" t="s">
        <v>258</v>
      </c>
      <c r="F169" s="2">
        <f>DASHBOARD!D123</f>
        <v>0</v>
      </c>
      <c r="G169" s="41" t="s">
        <v>14</v>
      </c>
      <c r="H169" s="7">
        <f>DASHBOARD!$D$35</f>
        <v>24.612000000000002</v>
      </c>
      <c r="I169" s="34">
        <v>8</v>
      </c>
      <c r="J169" s="5">
        <f>J170+2/2</f>
        <v>1.6</v>
      </c>
      <c r="K169" s="11">
        <f>D169*F169*I169*J169</f>
        <v>0</v>
      </c>
      <c r="L169" s="6">
        <f>H169*I169*J169</f>
        <v>315.03360000000004</v>
      </c>
      <c r="M169" s="1" t="s">
        <v>322</v>
      </c>
      <c r="N169" s="83" t="s">
        <v>111</v>
      </c>
    </row>
    <row r="170" spans="2:14">
      <c r="B170" s="17"/>
      <c r="G170" s="41" t="s">
        <v>17</v>
      </c>
      <c r="H170" s="7">
        <f>DASHBOARD!$D$36</f>
        <v>45.12</v>
      </c>
      <c r="I170" s="34">
        <v>8</v>
      </c>
      <c r="J170" s="5">
        <v>0.6</v>
      </c>
      <c r="K170" s="11">
        <f>D169*F169*I170*J170</f>
        <v>0</v>
      </c>
      <c r="L170" s="6">
        <f>H170*I170*J170</f>
        <v>216.57599999999999</v>
      </c>
      <c r="M170" s="1" t="s">
        <v>321</v>
      </c>
      <c r="N170" s="87" t="s">
        <v>112</v>
      </c>
    </row>
    <row r="171" spans="2:14">
      <c r="B171" s="17"/>
      <c r="G171" s="41" t="s">
        <v>6</v>
      </c>
      <c r="H171" s="3">
        <f>DASHBOARD!$D$40</f>
        <v>24.276</v>
      </c>
      <c r="I171" s="34">
        <v>8</v>
      </c>
      <c r="J171" s="5">
        <v>0.6</v>
      </c>
      <c r="K171" s="11">
        <f>D169*F169*I171*J171</f>
        <v>0</v>
      </c>
      <c r="L171" s="6">
        <f t="shared" ref="L171:L173" si="6">H171*I171*J171</f>
        <v>116.5248</v>
      </c>
      <c r="N171" s="87" t="s">
        <v>114</v>
      </c>
    </row>
    <row r="172" spans="2:14">
      <c r="B172" s="17"/>
      <c r="G172" s="41" t="s">
        <v>12</v>
      </c>
      <c r="H172" s="7">
        <f>DASHBOARD!$D$37</f>
        <v>19.8</v>
      </c>
      <c r="I172" s="34">
        <v>8</v>
      </c>
      <c r="J172" s="5">
        <v>0.8</v>
      </c>
      <c r="K172" s="71">
        <f>D169*F169*I172*J172</f>
        <v>0</v>
      </c>
      <c r="L172" s="6">
        <f t="shared" si="6"/>
        <v>126.72000000000001</v>
      </c>
      <c r="M172" s="1" t="s">
        <v>320</v>
      </c>
      <c r="N172" s="87"/>
    </row>
    <row r="173" spans="2:14">
      <c r="B173" s="17"/>
      <c r="G173" s="41" t="s">
        <v>449</v>
      </c>
      <c r="H173" s="7">
        <f>DASHBOARD!$D$46</f>
        <v>54.804000000000002</v>
      </c>
      <c r="I173" s="34">
        <v>8</v>
      </c>
      <c r="J173" s="5">
        <v>0.2</v>
      </c>
      <c r="K173" s="249">
        <f>D169*F169*I173*J173</f>
        <v>0</v>
      </c>
      <c r="L173" s="6">
        <f t="shared" si="6"/>
        <v>87.686400000000006</v>
      </c>
      <c r="M173" s="1" t="s">
        <v>324</v>
      </c>
      <c r="N173" s="87"/>
    </row>
    <row r="174" spans="2:14">
      <c r="B174" s="17"/>
      <c r="G174" s="42" t="s">
        <v>202</v>
      </c>
      <c r="H174" s="3">
        <v>0</v>
      </c>
      <c r="I174" s="32">
        <v>1</v>
      </c>
      <c r="J174" s="11">
        <v>100</v>
      </c>
      <c r="K174" s="71"/>
      <c r="L174" s="6">
        <f>H174*I174*J174</f>
        <v>0</v>
      </c>
      <c r="N174" s="87"/>
    </row>
    <row r="175" spans="2:14">
      <c r="B175" s="17"/>
      <c r="G175" s="41" t="s">
        <v>323</v>
      </c>
      <c r="H175" s="7">
        <f>DASHBOARD!$D$47</f>
        <v>60</v>
      </c>
      <c r="I175" s="34">
        <v>8</v>
      </c>
      <c r="J175" s="5">
        <v>0.2</v>
      </c>
      <c r="K175" s="71">
        <f>D169*F169*I175*J175</f>
        <v>0</v>
      </c>
      <c r="L175" s="6">
        <f t="shared" ref="L175:L183" si="7">H175*I175*J175</f>
        <v>96</v>
      </c>
      <c r="M175" s="1" t="s">
        <v>324</v>
      </c>
      <c r="N175" s="87"/>
    </row>
    <row r="176" spans="2:14">
      <c r="B176" s="17"/>
      <c r="G176" s="41" t="s">
        <v>325</v>
      </c>
      <c r="H176" s="7">
        <f>DASHBOARD!$D$43</f>
        <v>21.599999999999998</v>
      </c>
      <c r="I176" s="34">
        <v>8</v>
      </c>
      <c r="J176" s="5">
        <v>0.8</v>
      </c>
      <c r="K176" s="71">
        <f>D169*F169*I176*J176</f>
        <v>0</v>
      </c>
      <c r="L176" s="6">
        <f t="shared" si="7"/>
        <v>138.23999999999998</v>
      </c>
      <c r="M176" s="1" t="s">
        <v>326</v>
      </c>
      <c r="N176" s="87"/>
    </row>
    <row r="177" spans="2:14">
      <c r="B177" s="17"/>
      <c r="G177" s="5" t="s">
        <v>8</v>
      </c>
      <c r="H177" s="7">
        <f>DASHBOARD!$D$56</f>
        <v>0.16259999999999999</v>
      </c>
      <c r="I177" s="34">
        <v>1</v>
      </c>
      <c r="J177" s="5">
        <f>4*J169</f>
        <v>6.4</v>
      </c>
      <c r="K177" s="5"/>
      <c r="L177" s="6">
        <f t="shared" si="7"/>
        <v>1.04064</v>
      </c>
      <c r="M177" s="1" t="s">
        <v>121</v>
      </c>
      <c r="N177" s="87" t="s">
        <v>116</v>
      </c>
    </row>
    <row r="178" spans="2:14">
      <c r="B178" s="17"/>
      <c r="G178" s="5" t="s">
        <v>41</v>
      </c>
      <c r="H178" s="7">
        <f>DASHBOARD!$D$57</f>
        <v>3.95</v>
      </c>
      <c r="I178" s="34">
        <v>1</v>
      </c>
      <c r="J178" s="5">
        <f>(4*J170)+(4*J171)+(4*0.6)</f>
        <v>7.1999999999999993</v>
      </c>
      <c r="K178" s="5"/>
      <c r="L178" s="6">
        <f t="shared" si="7"/>
        <v>28.439999999999998</v>
      </c>
      <c r="M178" s="1" t="s">
        <v>122</v>
      </c>
      <c r="N178" s="87" t="s">
        <v>117</v>
      </c>
    </row>
    <row r="179" spans="2:14">
      <c r="B179" s="17"/>
      <c r="G179" s="5" t="s">
        <v>9</v>
      </c>
      <c r="H179" s="7">
        <f>DASHBOARD!$D$58</f>
        <v>13.95</v>
      </c>
      <c r="I179" s="34">
        <v>1</v>
      </c>
      <c r="J179" s="5">
        <f>(4*J170)+(4*J171)+(4*0.6)</f>
        <v>7.1999999999999993</v>
      </c>
      <c r="K179" s="5"/>
      <c r="L179" s="6">
        <f t="shared" si="7"/>
        <v>100.43999999999998</v>
      </c>
      <c r="M179" s="1" t="s">
        <v>122</v>
      </c>
      <c r="N179" s="87" t="s">
        <v>118</v>
      </c>
    </row>
    <row r="180" spans="2:14">
      <c r="B180" s="17"/>
      <c r="G180" s="5" t="s">
        <v>16</v>
      </c>
      <c r="H180" s="7">
        <f>DASHBOARD!$D$59</f>
        <v>0.23960000000000001</v>
      </c>
      <c r="I180" s="34">
        <v>1</v>
      </c>
      <c r="J180" s="5">
        <f>(4*(J169-0.6))+100+100+100</f>
        <v>304</v>
      </c>
      <c r="K180" s="5"/>
      <c r="L180" s="6">
        <f t="shared" si="7"/>
        <v>72.838400000000007</v>
      </c>
      <c r="M180" s="1" t="s">
        <v>123</v>
      </c>
      <c r="N180" s="87" t="s">
        <v>119</v>
      </c>
    </row>
    <row r="181" spans="2:14">
      <c r="B181" s="17"/>
      <c r="G181" s="5" t="s">
        <v>10</v>
      </c>
      <c r="H181" s="7">
        <f>DASHBOARD!$D$60</f>
        <v>1.7004999999999999</v>
      </c>
      <c r="I181" s="34">
        <v>1</v>
      </c>
      <c r="J181" s="5">
        <f>100+100+100</f>
        <v>300</v>
      </c>
      <c r="K181" s="5"/>
      <c r="L181" s="6">
        <f t="shared" si="7"/>
        <v>510.15</v>
      </c>
      <c r="M181" s="1" t="s">
        <v>124</v>
      </c>
      <c r="N181" s="87" t="s">
        <v>119</v>
      </c>
    </row>
    <row r="182" spans="2:14">
      <c r="B182" s="17"/>
      <c r="G182" s="5" t="s">
        <v>144</v>
      </c>
      <c r="H182" s="7">
        <f>DASHBOARD!$D$61</f>
        <v>3.32</v>
      </c>
      <c r="I182" s="34">
        <v>1</v>
      </c>
      <c r="J182" s="5">
        <v>100</v>
      </c>
      <c r="K182" s="5"/>
      <c r="L182" s="6">
        <f t="shared" si="7"/>
        <v>332</v>
      </c>
      <c r="M182" s="1" t="s">
        <v>145</v>
      </c>
      <c r="N182" s="89" t="s">
        <v>147</v>
      </c>
    </row>
    <row r="183" spans="2:14">
      <c r="B183" s="17"/>
      <c r="G183" s="5" t="s">
        <v>11</v>
      </c>
      <c r="H183" s="7">
        <f>DASHBOARD!$D$62</f>
        <v>0.72</v>
      </c>
      <c r="I183" s="34">
        <v>1</v>
      </c>
      <c r="J183" s="5">
        <f>100</f>
        <v>100</v>
      </c>
      <c r="K183" s="5"/>
      <c r="L183" s="6">
        <f t="shared" si="7"/>
        <v>72</v>
      </c>
      <c r="M183" s="1" t="s">
        <v>146</v>
      </c>
      <c r="N183" s="89" t="s">
        <v>148</v>
      </c>
    </row>
    <row r="184" spans="2:14">
      <c r="B184" s="17"/>
      <c r="F184" s="119">
        <f>DASHBOARD!$D$110</f>
        <v>0</v>
      </c>
      <c r="G184" s="120" t="s">
        <v>17</v>
      </c>
      <c r="H184" s="121">
        <f>DASHBOARD!$D$36</f>
        <v>45.12</v>
      </c>
      <c r="I184" s="122">
        <v>8</v>
      </c>
      <c r="J184" s="120">
        <f>0.625*F184*(8/7)</f>
        <v>0</v>
      </c>
      <c r="K184" s="120"/>
      <c r="L184" s="123">
        <f>F184*H184*I184*J184</f>
        <v>0</v>
      </c>
      <c r="M184" s="1" t="s">
        <v>287</v>
      </c>
      <c r="N184" s="89"/>
    </row>
    <row r="185" spans="2:14">
      <c r="B185" s="17"/>
      <c r="F185" s="124" t="s">
        <v>281</v>
      </c>
      <c r="G185" s="120" t="s">
        <v>6</v>
      </c>
      <c r="H185" s="121">
        <f>DASHBOARD!$D$40</f>
        <v>24.276</v>
      </c>
      <c r="I185" s="122">
        <v>8</v>
      </c>
      <c r="J185" s="120">
        <f>0.625*(8/7)</f>
        <v>0.71428571428571419</v>
      </c>
      <c r="K185" s="120"/>
      <c r="L185" s="123">
        <f>F184*H185*I185*J185</f>
        <v>0</v>
      </c>
      <c r="M185" s="1" t="s">
        <v>287</v>
      </c>
      <c r="N185" s="89"/>
    </row>
    <row r="186" spans="2:14">
      <c r="B186" s="17"/>
      <c r="F186" s="124"/>
      <c r="G186" s="120" t="s">
        <v>291</v>
      </c>
      <c r="H186" s="121">
        <f>DASHBOARD!$D$59</f>
        <v>0.23960000000000001</v>
      </c>
      <c r="I186" s="122">
        <v>1</v>
      </c>
      <c r="J186" s="120">
        <v>0</v>
      </c>
      <c r="K186" s="120"/>
      <c r="L186" s="123">
        <f>F184*H186*I186*J186</f>
        <v>0</v>
      </c>
      <c r="N186" s="89"/>
    </row>
    <row r="187" spans="2:14">
      <c r="B187" s="17"/>
      <c r="F187" s="119"/>
      <c r="G187" s="120" t="s">
        <v>284</v>
      </c>
      <c r="H187" s="121">
        <v>10</v>
      </c>
      <c r="I187" s="122">
        <v>1</v>
      </c>
      <c r="J187" s="120">
        <v>100</v>
      </c>
      <c r="K187" s="120"/>
      <c r="L187" s="123">
        <f>F184*H187*I187*J187</f>
        <v>0</v>
      </c>
      <c r="M187" s="1" t="s">
        <v>290</v>
      </c>
      <c r="N187" s="89"/>
    </row>
    <row r="188" spans="2:14">
      <c r="B188" s="17"/>
      <c r="F188" s="119"/>
      <c r="G188" s="120" t="s">
        <v>283</v>
      </c>
      <c r="H188" s="121">
        <v>0.84</v>
      </c>
      <c r="I188" s="122">
        <v>1</v>
      </c>
      <c r="J188" s="120">
        <v>100</v>
      </c>
      <c r="K188" s="120"/>
      <c r="L188" s="123">
        <f>F184*H188*I188*J188</f>
        <v>0</v>
      </c>
      <c r="M188" s="1" t="s">
        <v>288</v>
      </c>
      <c r="N188" s="88" t="s">
        <v>289</v>
      </c>
    </row>
    <row r="189" spans="2:14">
      <c r="B189" s="17"/>
      <c r="F189" s="154">
        <f>DASHBOARD!$D$112</f>
        <v>0</v>
      </c>
      <c r="G189" s="155" t="s">
        <v>386</v>
      </c>
      <c r="H189" s="156">
        <f>DASHBOARD!$D$42</f>
        <v>30</v>
      </c>
      <c r="I189" s="157">
        <v>8</v>
      </c>
      <c r="J189" s="155">
        <f>((DASHBOARD!$D$113*100)/480)*(8/7)</f>
        <v>1.1904761904761905</v>
      </c>
      <c r="K189" s="155">
        <f>D169*F169*F189*I189*J189</f>
        <v>0</v>
      </c>
      <c r="L189" s="158">
        <f>F189*H189*I189*J189</f>
        <v>0</v>
      </c>
      <c r="M189" s="1" t="s">
        <v>460</v>
      </c>
      <c r="N189" s="88" t="s">
        <v>387</v>
      </c>
    </row>
    <row r="190" spans="2:14">
      <c r="B190" s="17"/>
      <c r="F190" s="159" t="s">
        <v>281</v>
      </c>
      <c r="G190" s="155" t="s">
        <v>382</v>
      </c>
      <c r="H190" s="156">
        <f>DASHBOARD!$D$59</f>
        <v>0.23960000000000001</v>
      </c>
      <c r="I190" s="157">
        <v>1</v>
      </c>
      <c r="J190" s="155">
        <v>100</v>
      </c>
      <c r="K190" s="155"/>
      <c r="L190" s="158">
        <f>F189*H190*I190*J190</f>
        <v>0</v>
      </c>
      <c r="M190" s="1" t="s">
        <v>388</v>
      </c>
      <c r="N190" s="88"/>
    </row>
    <row r="191" spans="2:14">
      <c r="B191" s="17"/>
      <c r="F191" s="159" t="s">
        <v>380</v>
      </c>
      <c r="G191" s="155" t="s">
        <v>383</v>
      </c>
      <c r="H191" s="156">
        <f>DASHBOARD!$D$60</f>
        <v>1.7004999999999999</v>
      </c>
      <c r="I191" s="157">
        <v>1</v>
      </c>
      <c r="J191" s="155">
        <v>100</v>
      </c>
      <c r="K191" s="155"/>
      <c r="L191" s="158">
        <f>F189*H191*I191*J191</f>
        <v>0</v>
      </c>
      <c r="M191" s="1" t="s">
        <v>388</v>
      </c>
      <c r="N191" s="88"/>
    </row>
    <row r="192" spans="2:14">
      <c r="B192" s="17"/>
      <c r="F192" s="154"/>
      <c r="G192" s="155" t="s">
        <v>41</v>
      </c>
      <c r="H192" s="156">
        <f>DASHBOARD!$D$57</f>
        <v>3.95</v>
      </c>
      <c r="I192" s="157">
        <v>1</v>
      </c>
      <c r="J192" s="155">
        <f>I189*J189/2</f>
        <v>4.7619047619047619</v>
      </c>
      <c r="K192" s="155"/>
      <c r="L192" s="158">
        <f>F189*H192*I192*J192</f>
        <v>0</v>
      </c>
      <c r="M192" s="1" t="s">
        <v>385</v>
      </c>
      <c r="N192" s="88"/>
    </row>
    <row r="193" spans="2:14">
      <c r="B193" s="17"/>
      <c r="F193" s="154"/>
      <c r="G193" s="155" t="s">
        <v>384</v>
      </c>
      <c r="H193" s="156">
        <f>DASHBOARD!$D$58</f>
        <v>13.95</v>
      </c>
      <c r="I193" s="157">
        <v>1</v>
      </c>
      <c r="J193" s="155">
        <f>I189*J189/2</f>
        <v>4.7619047619047619</v>
      </c>
      <c r="K193" s="155"/>
      <c r="L193" s="158">
        <f>F189*H193*I193*J193</f>
        <v>0</v>
      </c>
      <c r="M193" s="1" t="s">
        <v>385</v>
      </c>
      <c r="N193" s="88"/>
    </row>
    <row r="194" spans="2:14">
      <c r="B194" s="17"/>
      <c r="F194" s="154"/>
      <c r="G194" s="155" t="s">
        <v>389</v>
      </c>
      <c r="H194" s="156">
        <f>DASHBOARD!$D$71</f>
        <v>2.2799999999999998</v>
      </c>
      <c r="I194" s="157">
        <v>1</v>
      </c>
      <c r="J194" s="155">
        <v>100</v>
      </c>
      <c r="K194" s="155"/>
      <c r="L194" s="158">
        <f>F189*H194*I194*J194</f>
        <v>0</v>
      </c>
      <c r="M194" s="1" t="s">
        <v>390</v>
      </c>
      <c r="N194" s="88" t="s">
        <v>391</v>
      </c>
    </row>
    <row r="195" spans="2:14">
      <c r="B195" s="17"/>
      <c r="F195" s="154"/>
      <c r="G195" s="155" t="s">
        <v>392</v>
      </c>
      <c r="H195" s="156">
        <f>DASHBOARD!$D$72</f>
        <v>0.39</v>
      </c>
      <c r="I195" s="157">
        <v>1</v>
      </c>
      <c r="J195" s="155">
        <v>100</v>
      </c>
      <c r="K195" s="155"/>
      <c r="L195" s="158">
        <f>F189*H195*I195*J195</f>
        <v>0</v>
      </c>
      <c r="M195" s="1" t="s">
        <v>393</v>
      </c>
      <c r="N195" s="88" t="s">
        <v>394</v>
      </c>
    </row>
    <row r="196" spans="2:14" ht="47.25">
      <c r="B196" s="17"/>
      <c r="F196" s="2">
        <f>1-F169</f>
        <v>1</v>
      </c>
      <c r="G196" s="41" t="s">
        <v>14</v>
      </c>
      <c r="H196" s="7">
        <f>DASHBOARD!$D$35</f>
        <v>24.612000000000002</v>
      </c>
      <c r="I196" s="34">
        <v>8</v>
      </c>
      <c r="J196" s="5">
        <f>J197+2</f>
        <v>2.6</v>
      </c>
      <c r="K196" s="11">
        <f>D169*F196*I196*J196</f>
        <v>0</v>
      </c>
      <c r="L196" s="6">
        <f>H196*I196*J196</f>
        <v>511.92960000000005</v>
      </c>
      <c r="M196" s="1" t="s">
        <v>322</v>
      </c>
      <c r="N196" s="83" t="s">
        <v>111</v>
      </c>
    </row>
    <row r="197" spans="2:14">
      <c r="B197" s="17"/>
      <c r="G197" s="41" t="s">
        <v>17</v>
      </c>
      <c r="H197" s="7">
        <f>DASHBOARD!$D$36</f>
        <v>45.12</v>
      </c>
      <c r="I197" s="34">
        <v>8</v>
      </c>
      <c r="J197" s="5">
        <v>0.6</v>
      </c>
      <c r="K197" s="11">
        <f>D169*F196*I197*J197</f>
        <v>0</v>
      </c>
      <c r="L197" s="6">
        <f>H197*I197*J197</f>
        <v>216.57599999999999</v>
      </c>
      <c r="M197" s="1" t="s">
        <v>321</v>
      </c>
      <c r="N197" s="87" t="s">
        <v>112</v>
      </c>
    </row>
    <row r="198" spans="2:14">
      <c r="B198" s="17"/>
      <c r="G198" s="41" t="s">
        <v>6</v>
      </c>
      <c r="H198" s="3">
        <f>DASHBOARD!$D$40</f>
        <v>24.276</v>
      </c>
      <c r="I198" s="34">
        <v>8</v>
      </c>
      <c r="J198" s="5">
        <v>0.6</v>
      </c>
      <c r="K198" s="11">
        <f>D169*F196*I198*J198</f>
        <v>0</v>
      </c>
      <c r="L198" s="6">
        <f t="shared" ref="L198:L200" si="8">H198*I198*J198</f>
        <v>116.5248</v>
      </c>
      <c r="N198" s="87" t="s">
        <v>114</v>
      </c>
    </row>
    <row r="199" spans="2:14">
      <c r="B199" s="17"/>
      <c r="G199" s="41" t="s">
        <v>12</v>
      </c>
      <c r="H199" s="7">
        <f>DASHBOARD!$D$37</f>
        <v>19.8</v>
      </c>
      <c r="I199" s="34">
        <v>8</v>
      </c>
      <c r="J199" s="5">
        <v>0.8</v>
      </c>
      <c r="K199" s="71">
        <f>D169*F196*I199*J199</f>
        <v>0</v>
      </c>
      <c r="L199" s="6">
        <f t="shared" si="8"/>
        <v>126.72000000000001</v>
      </c>
      <c r="M199" s="1" t="s">
        <v>320</v>
      </c>
      <c r="N199" s="87"/>
    </row>
    <row r="200" spans="2:14">
      <c r="B200" s="17"/>
      <c r="G200" s="41" t="s">
        <v>449</v>
      </c>
      <c r="H200" s="7">
        <f>DASHBOARD!$D$46</f>
        <v>54.804000000000002</v>
      </c>
      <c r="I200" s="34">
        <v>8</v>
      </c>
      <c r="J200" s="5">
        <v>0.2</v>
      </c>
      <c r="K200" s="249">
        <f>D169*F196*I200*J200</f>
        <v>0</v>
      </c>
      <c r="L200" s="6">
        <f t="shared" si="8"/>
        <v>87.686400000000006</v>
      </c>
      <c r="M200" s="1" t="s">
        <v>324</v>
      </c>
      <c r="N200" s="87"/>
    </row>
    <row r="201" spans="2:14">
      <c r="B201" s="17"/>
      <c r="G201" s="42" t="s">
        <v>202</v>
      </c>
      <c r="H201" s="3">
        <v>0</v>
      </c>
      <c r="I201" s="32">
        <v>1</v>
      </c>
      <c r="J201" s="11">
        <v>100</v>
      </c>
      <c r="K201" s="71"/>
      <c r="L201" s="6">
        <f>H201*I201*J201</f>
        <v>0</v>
      </c>
      <c r="N201" s="87"/>
    </row>
    <row r="202" spans="2:14">
      <c r="B202" s="17"/>
      <c r="G202" s="41" t="s">
        <v>323</v>
      </c>
      <c r="H202" s="7">
        <f>DASHBOARD!$D$47</f>
        <v>60</v>
      </c>
      <c r="I202" s="34">
        <v>8</v>
      </c>
      <c r="J202" s="5">
        <v>0.2</v>
      </c>
      <c r="K202" s="71">
        <f>D169*F196*I202*J202</f>
        <v>0</v>
      </c>
      <c r="L202" s="6">
        <f t="shared" ref="L202:L210" si="9">H202*I202*J202</f>
        <v>96</v>
      </c>
      <c r="M202" s="1" t="s">
        <v>324</v>
      </c>
      <c r="N202" s="87"/>
    </row>
    <row r="203" spans="2:14">
      <c r="B203" s="17"/>
      <c r="G203" s="41" t="s">
        <v>325</v>
      </c>
      <c r="H203" s="7">
        <f>DASHBOARD!$D$43</f>
        <v>21.599999999999998</v>
      </c>
      <c r="I203" s="34">
        <v>8</v>
      </c>
      <c r="J203" s="5">
        <v>0.8</v>
      </c>
      <c r="K203" s="71">
        <f>D169*F196*I203*J203</f>
        <v>0</v>
      </c>
      <c r="L203" s="6">
        <f t="shared" si="9"/>
        <v>138.23999999999998</v>
      </c>
      <c r="M203" s="1" t="s">
        <v>326</v>
      </c>
      <c r="N203" s="87"/>
    </row>
    <row r="204" spans="2:14">
      <c r="B204" s="17"/>
      <c r="G204" s="5" t="s">
        <v>8</v>
      </c>
      <c r="H204" s="7">
        <f>DASHBOARD!$D$56</f>
        <v>0.16259999999999999</v>
      </c>
      <c r="I204" s="34">
        <v>1</v>
      </c>
      <c r="J204" s="5">
        <f>4*J196</f>
        <v>10.4</v>
      </c>
      <c r="K204" s="5"/>
      <c r="L204" s="6">
        <f t="shared" si="9"/>
        <v>1.6910400000000001</v>
      </c>
      <c r="M204" s="1" t="s">
        <v>121</v>
      </c>
      <c r="N204" s="87" t="s">
        <v>116</v>
      </c>
    </row>
    <row r="205" spans="2:14">
      <c r="B205" s="17"/>
      <c r="G205" s="5" t="s">
        <v>41</v>
      </c>
      <c r="H205" s="7">
        <f>DASHBOARD!$D$57</f>
        <v>3.95</v>
      </c>
      <c r="I205" s="34">
        <v>1</v>
      </c>
      <c r="J205" s="5">
        <f>(4*J197)+(4*J198)+(4*0.6)</f>
        <v>7.1999999999999993</v>
      </c>
      <c r="K205" s="5"/>
      <c r="L205" s="6">
        <f t="shared" si="9"/>
        <v>28.439999999999998</v>
      </c>
      <c r="M205" s="1" t="s">
        <v>122</v>
      </c>
      <c r="N205" s="87" t="s">
        <v>117</v>
      </c>
    </row>
    <row r="206" spans="2:14">
      <c r="B206" s="17"/>
      <c r="G206" s="5" t="s">
        <v>9</v>
      </c>
      <c r="H206" s="7">
        <f>DASHBOARD!$D$58</f>
        <v>13.95</v>
      </c>
      <c r="I206" s="34">
        <v>1</v>
      </c>
      <c r="J206" s="5">
        <f>(4*J197)+(4*J198)+(4*0.6)</f>
        <v>7.1999999999999993</v>
      </c>
      <c r="K206" s="5"/>
      <c r="L206" s="6">
        <f t="shared" si="9"/>
        <v>100.43999999999998</v>
      </c>
      <c r="M206" s="1" t="s">
        <v>122</v>
      </c>
      <c r="N206" s="87" t="s">
        <v>118</v>
      </c>
    </row>
    <row r="207" spans="2:14">
      <c r="B207" s="17"/>
      <c r="G207" s="5" t="s">
        <v>16</v>
      </c>
      <c r="H207" s="7">
        <f>DASHBOARD!$D$59</f>
        <v>0.23960000000000001</v>
      </c>
      <c r="I207" s="34">
        <v>1</v>
      </c>
      <c r="J207" s="5">
        <f>(4*(J196-0.6))+100+100+100</f>
        <v>308</v>
      </c>
      <c r="K207" s="5"/>
      <c r="L207" s="6">
        <f t="shared" si="9"/>
        <v>73.796800000000005</v>
      </c>
      <c r="M207" s="1" t="s">
        <v>123</v>
      </c>
      <c r="N207" s="87" t="s">
        <v>119</v>
      </c>
    </row>
    <row r="208" spans="2:14">
      <c r="B208" s="17"/>
      <c r="G208" s="5" t="s">
        <v>10</v>
      </c>
      <c r="H208" s="7">
        <f>DASHBOARD!$D$60</f>
        <v>1.7004999999999999</v>
      </c>
      <c r="I208" s="34">
        <v>1</v>
      </c>
      <c r="J208" s="5">
        <f>100+100+100</f>
        <v>300</v>
      </c>
      <c r="K208" s="5"/>
      <c r="L208" s="6">
        <f t="shared" si="9"/>
        <v>510.15</v>
      </c>
      <c r="M208" s="1" t="s">
        <v>124</v>
      </c>
      <c r="N208" s="87" t="s">
        <v>119</v>
      </c>
    </row>
    <row r="209" spans="2:14">
      <c r="B209" s="17"/>
      <c r="G209" s="5" t="s">
        <v>144</v>
      </c>
      <c r="H209" s="7">
        <f>DASHBOARD!$D$61</f>
        <v>3.32</v>
      </c>
      <c r="I209" s="34">
        <v>1</v>
      </c>
      <c r="J209" s="5">
        <v>100</v>
      </c>
      <c r="K209" s="5"/>
      <c r="L209" s="6">
        <f t="shared" si="9"/>
        <v>332</v>
      </c>
      <c r="M209" s="1" t="s">
        <v>145</v>
      </c>
      <c r="N209" s="89" t="s">
        <v>147</v>
      </c>
    </row>
    <row r="210" spans="2:14">
      <c r="B210" s="17"/>
      <c r="G210" s="5" t="s">
        <v>11</v>
      </c>
      <c r="H210" s="7">
        <f>DASHBOARD!$D$62</f>
        <v>0.72</v>
      </c>
      <c r="I210" s="34">
        <v>1</v>
      </c>
      <c r="J210" s="5">
        <f>100</f>
        <v>100</v>
      </c>
      <c r="K210" s="5"/>
      <c r="L210" s="6">
        <f t="shared" si="9"/>
        <v>72</v>
      </c>
      <c r="M210" s="1" t="s">
        <v>146</v>
      </c>
      <c r="N210" s="89" t="s">
        <v>148</v>
      </c>
    </row>
    <row r="211" spans="2:14">
      <c r="B211" s="17"/>
      <c r="F211" s="119">
        <f>DASHBOARD!$D$110</f>
        <v>0</v>
      </c>
      <c r="G211" s="120" t="s">
        <v>17</v>
      </c>
      <c r="H211" s="121">
        <f>DASHBOARD!$D$36</f>
        <v>45.12</v>
      </c>
      <c r="I211" s="122">
        <v>8</v>
      </c>
      <c r="J211" s="120">
        <f>0.625*F211*(8/7)</f>
        <v>0</v>
      </c>
      <c r="K211" s="120"/>
      <c r="L211" s="123">
        <f>F211*H211*I211*J211</f>
        <v>0</v>
      </c>
      <c r="M211" s="1" t="s">
        <v>287</v>
      </c>
      <c r="N211" s="89"/>
    </row>
    <row r="212" spans="2:14">
      <c r="B212" s="17"/>
      <c r="F212" s="124" t="s">
        <v>281</v>
      </c>
      <c r="G212" s="120" t="s">
        <v>6</v>
      </c>
      <c r="H212" s="121">
        <f>DASHBOARD!$D$35</f>
        <v>24.612000000000002</v>
      </c>
      <c r="I212" s="122">
        <v>8</v>
      </c>
      <c r="J212" s="120">
        <f>0.625*(8/7)</f>
        <v>0.71428571428571419</v>
      </c>
      <c r="K212" s="120"/>
      <c r="L212" s="123">
        <f>F211*H212*I212*J212</f>
        <v>0</v>
      </c>
      <c r="M212" s="1" t="s">
        <v>287</v>
      </c>
      <c r="N212" s="89"/>
    </row>
    <row r="213" spans="2:14">
      <c r="B213" s="17"/>
      <c r="F213" s="124"/>
      <c r="G213" s="120" t="s">
        <v>291</v>
      </c>
      <c r="H213" s="121">
        <f>DASHBOARD!$D$59</f>
        <v>0.23960000000000001</v>
      </c>
      <c r="I213" s="122">
        <v>1</v>
      </c>
      <c r="J213" s="120">
        <v>0</v>
      </c>
      <c r="K213" s="120"/>
      <c r="L213" s="123">
        <f>F211*H213*I213*J213</f>
        <v>0</v>
      </c>
      <c r="N213" s="89"/>
    </row>
    <row r="214" spans="2:14">
      <c r="B214" s="17"/>
      <c r="F214" s="119"/>
      <c r="G214" s="120" t="s">
        <v>284</v>
      </c>
      <c r="H214" s="121">
        <v>10</v>
      </c>
      <c r="I214" s="122">
        <v>1</v>
      </c>
      <c r="J214" s="120">
        <v>100</v>
      </c>
      <c r="K214" s="120"/>
      <c r="L214" s="123">
        <f>F211*H214*I214*J214</f>
        <v>0</v>
      </c>
      <c r="M214" s="1" t="s">
        <v>290</v>
      </c>
      <c r="N214" s="89"/>
    </row>
    <row r="215" spans="2:14">
      <c r="B215" s="17"/>
      <c r="F215" s="119"/>
      <c r="G215" s="120" t="s">
        <v>283</v>
      </c>
      <c r="H215" s="121">
        <v>0.84</v>
      </c>
      <c r="I215" s="122">
        <v>1</v>
      </c>
      <c r="J215" s="120">
        <v>100</v>
      </c>
      <c r="K215" s="120"/>
      <c r="L215" s="123">
        <f>F211*H215*I215*J215</f>
        <v>0</v>
      </c>
      <c r="M215" s="1" t="s">
        <v>288</v>
      </c>
      <c r="N215" s="88" t="s">
        <v>289</v>
      </c>
    </row>
    <row r="216" spans="2:14">
      <c r="B216" s="17"/>
      <c r="F216" s="154">
        <f>DASHBOARD!$D$112</f>
        <v>0</v>
      </c>
      <c r="G216" s="155" t="s">
        <v>386</v>
      </c>
      <c r="H216" s="156">
        <f>DASHBOARD!$D$42</f>
        <v>30</v>
      </c>
      <c r="I216" s="157">
        <v>8</v>
      </c>
      <c r="J216" s="155">
        <f>((DASHBOARD!$D$113*100)/480)*(8/7)</f>
        <v>1.1904761904761905</v>
      </c>
      <c r="K216" s="155">
        <f>D169*F196*F216*I216*J216</f>
        <v>0</v>
      </c>
      <c r="L216" s="158">
        <f>F216*H216*I216*J216</f>
        <v>0</v>
      </c>
      <c r="M216" s="1" t="s">
        <v>460</v>
      </c>
      <c r="N216" s="88" t="s">
        <v>387</v>
      </c>
    </row>
    <row r="217" spans="2:14">
      <c r="B217" s="17"/>
      <c r="F217" s="159" t="s">
        <v>281</v>
      </c>
      <c r="G217" s="155" t="s">
        <v>382</v>
      </c>
      <c r="H217" s="156">
        <f>DASHBOARD!$D$59</f>
        <v>0.23960000000000001</v>
      </c>
      <c r="I217" s="157">
        <v>1</v>
      </c>
      <c r="J217" s="155">
        <v>100</v>
      </c>
      <c r="K217" s="155"/>
      <c r="L217" s="158">
        <f>F216*H217*I217*J217</f>
        <v>0</v>
      </c>
      <c r="M217" s="1" t="s">
        <v>388</v>
      </c>
      <c r="N217" s="88"/>
    </row>
    <row r="218" spans="2:14">
      <c r="B218" s="17"/>
      <c r="F218" s="159" t="s">
        <v>380</v>
      </c>
      <c r="G218" s="155" t="s">
        <v>383</v>
      </c>
      <c r="H218" s="156">
        <f>DASHBOARD!$D$60</f>
        <v>1.7004999999999999</v>
      </c>
      <c r="I218" s="157">
        <v>1</v>
      </c>
      <c r="J218" s="155">
        <v>100</v>
      </c>
      <c r="K218" s="155"/>
      <c r="L218" s="158">
        <f>F216*H218*I218*J218</f>
        <v>0</v>
      </c>
      <c r="M218" s="1" t="s">
        <v>388</v>
      </c>
      <c r="N218" s="88"/>
    </row>
    <row r="219" spans="2:14">
      <c r="B219" s="17"/>
      <c r="F219" s="154"/>
      <c r="G219" s="155" t="s">
        <v>41</v>
      </c>
      <c r="H219" s="156">
        <f>DASHBOARD!$D$57</f>
        <v>3.95</v>
      </c>
      <c r="I219" s="157">
        <v>1</v>
      </c>
      <c r="J219" s="155">
        <f>I216*J216/2</f>
        <v>4.7619047619047619</v>
      </c>
      <c r="K219" s="155"/>
      <c r="L219" s="158">
        <f>F216*H219*I219*J219</f>
        <v>0</v>
      </c>
      <c r="M219" s="1" t="s">
        <v>385</v>
      </c>
      <c r="N219" s="88"/>
    </row>
    <row r="220" spans="2:14">
      <c r="B220" s="17"/>
      <c r="F220" s="154"/>
      <c r="G220" s="155" t="s">
        <v>384</v>
      </c>
      <c r="H220" s="156">
        <f>DASHBOARD!$D$58</f>
        <v>13.95</v>
      </c>
      <c r="I220" s="157">
        <v>1</v>
      </c>
      <c r="J220" s="155">
        <f>I216*J216/2</f>
        <v>4.7619047619047619</v>
      </c>
      <c r="K220" s="155"/>
      <c r="L220" s="158">
        <f>F216*H220*I220*J220</f>
        <v>0</v>
      </c>
      <c r="M220" s="1" t="s">
        <v>385</v>
      </c>
      <c r="N220" s="88"/>
    </row>
    <row r="221" spans="2:14">
      <c r="B221" s="17"/>
      <c r="F221" s="154"/>
      <c r="G221" s="155" t="s">
        <v>389</v>
      </c>
      <c r="H221" s="156">
        <f>DASHBOARD!$D$71</f>
        <v>2.2799999999999998</v>
      </c>
      <c r="I221" s="157">
        <v>1</v>
      </c>
      <c r="J221" s="155">
        <v>100</v>
      </c>
      <c r="K221" s="155"/>
      <c r="L221" s="158">
        <f>F216*H221*I221*J221</f>
        <v>0</v>
      </c>
      <c r="M221" s="1" t="s">
        <v>390</v>
      </c>
      <c r="N221" s="88" t="s">
        <v>391</v>
      </c>
    </row>
    <row r="222" spans="2:14">
      <c r="B222" s="17"/>
      <c r="F222" s="154"/>
      <c r="G222" s="155" t="s">
        <v>392</v>
      </c>
      <c r="H222" s="156">
        <f>DASHBOARD!$D$72</f>
        <v>0.39</v>
      </c>
      <c r="I222" s="157">
        <v>1</v>
      </c>
      <c r="J222" s="155">
        <v>100</v>
      </c>
      <c r="K222" s="155"/>
      <c r="L222" s="158">
        <f>F216*H222*I222*J222</f>
        <v>0</v>
      </c>
      <c r="M222" s="1" t="s">
        <v>393</v>
      </c>
      <c r="N222" s="88" t="s">
        <v>394</v>
      </c>
    </row>
    <row r="223" spans="2:14" ht="20.100000000000001" customHeight="1" thickBot="1">
      <c r="B223" s="9" t="s">
        <v>7</v>
      </c>
      <c r="C223" s="10"/>
      <c r="D223" s="14"/>
      <c r="E223" s="20"/>
      <c r="F223" s="14"/>
      <c r="G223" s="10"/>
      <c r="H223" s="549" t="s">
        <v>81</v>
      </c>
      <c r="I223" s="549"/>
      <c r="J223" s="549"/>
      <c r="K223" s="252"/>
      <c r="L223" s="70">
        <f>(D25*F25*SUM(L25:L48))+(D25*F49*SUM(L49:L72))+(D25*F73*SUM(L73:L94))+(D25*F95*SUM(L95:L116))+(D117*F117*SUM(L117:L142))+(D117*F143*SUM(L143:L168))+(D169*F169*SUM(L169:L195))+(D169*F196*SUM(L196:L222))</f>
        <v>10565.297303284298</v>
      </c>
      <c r="M223" s="69" t="str">
        <f>"Per Person Cost is "&amp;ROUND(L223/100,2)&amp;" and the cost per "&amp;$C$4&amp;" people is "&amp;ROUND(L223/100*$C$4,2)</f>
        <v>Per Person Cost is 105.65 and the cost per 719993 people is 76069401.01</v>
      </c>
    </row>
    <row r="224" spans="2:14" ht="50.25" customHeight="1">
      <c r="B224" s="22" t="s">
        <v>18</v>
      </c>
      <c r="C224" s="26">
        <f>C4</f>
        <v>719993</v>
      </c>
      <c r="D224" s="2">
        <f>1*DASHBOARD!$D$139</f>
        <v>1</v>
      </c>
      <c r="E224" s="21">
        <v>1</v>
      </c>
      <c r="F224" s="92">
        <f>1-F231</f>
        <v>1</v>
      </c>
      <c r="G224" s="42" t="s">
        <v>21</v>
      </c>
      <c r="H224" s="3">
        <f>DASHBOARD!D41</f>
        <v>26.004000000000001</v>
      </c>
      <c r="I224" s="11">
        <f>F225*E4/8*((36+((ROUNDUP((C224*F224)/(C11*F225)/50,0))*DASHBOARD!$D$132))/60)*(8/7)</f>
        <v>2.7651251446879614</v>
      </c>
      <c r="J224" s="11">
        <v>1</v>
      </c>
      <c r="K224" s="11">
        <f>F224*I224*J224</f>
        <v>2.7651251446879614</v>
      </c>
      <c r="L224" s="4">
        <f t="shared" ref="L224:L235" si="10">H224*I224*J224</f>
        <v>71.904314262465746</v>
      </c>
      <c r="M224" s="1" t="s">
        <v>156</v>
      </c>
      <c r="N224" s="87" t="s">
        <v>128</v>
      </c>
    </row>
    <row r="225" spans="2:14" ht="18" customHeight="1">
      <c r="B225" s="22" t="s">
        <v>189</v>
      </c>
      <c r="E225" s="21" t="s">
        <v>155</v>
      </c>
      <c r="F225" s="2">
        <v>2</v>
      </c>
      <c r="G225" s="126" t="s">
        <v>22</v>
      </c>
      <c r="H225" s="127">
        <f>DASHBOARD!D64</f>
        <v>7.242172727E-2</v>
      </c>
      <c r="I225" s="128">
        <v>1</v>
      </c>
      <c r="J225" s="129">
        <f>32.8*F225*J224*E4/8</f>
        <v>119.03863747881674</v>
      </c>
      <c r="K225" s="11"/>
      <c r="L225" s="4">
        <f t="shared" si="10"/>
        <v>8.6209837380832663</v>
      </c>
      <c r="M225" s="1" t="s">
        <v>157</v>
      </c>
      <c r="N225" s="87" t="s">
        <v>129</v>
      </c>
    </row>
    <row r="226" spans="2:14" ht="17.100000000000001" customHeight="1">
      <c r="B226" s="22" t="s">
        <v>190</v>
      </c>
      <c r="E226" s="1"/>
      <c r="F226" s="1"/>
      <c r="G226" s="1" t="s">
        <v>158</v>
      </c>
      <c r="H226" s="3">
        <f>DASHBOARD!D65</f>
        <v>42.91</v>
      </c>
      <c r="I226" s="11">
        <f>I224/8</f>
        <v>0.34564064308599518</v>
      </c>
      <c r="J226" s="11">
        <v>1</v>
      </c>
      <c r="K226" s="11"/>
      <c r="L226" s="4">
        <f t="shared" si="10"/>
        <v>14.831439994820052</v>
      </c>
      <c r="M226" s="1" t="s">
        <v>194</v>
      </c>
      <c r="N226" s="87"/>
    </row>
    <row r="227" spans="2:14" ht="17.100000000000001" customHeight="1">
      <c r="B227" s="22" t="s">
        <v>191</v>
      </c>
      <c r="G227" s="1" t="s">
        <v>23</v>
      </c>
      <c r="H227" s="3">
        <f>DASHBOARD!D66</f>
        <v>0.18703</v>
      </c>
      <c r="I227" s="91">
        <v>1</v>
      </c>
      <c r="J227" s="55">
        <v>100</v>
      </c>
      <c r="K227" s="55"/>
      <c r="L227" s="4">
        <f t="shared" si="10"/>
        <v>18.702999999999999</v>
      </c>
      <c r="N227" s="87" t="s">
        <v>132</v>
      </c>
    </row>
    <row r="228" spans="2:14">
      <c r="B228" s="22"/>
      <c r="G228" s="1" t="s">
        <v>24</v>
      </c>
      <c r="H228" s="3">
        <f>DASHBOARD!D67</f>
        <v>1.274775</v>
      </c>
      <c r="I228" s="11">
        <v>1</v>
      </c>
      <c r="J228" s="55">
        <v>2</v>
      </c>
      <c r="K228" s="55"/>
      <c r="L228" s="4">
        <f t="shared" si="10"/>
        <v>2.54955</v>
      </c>
      <c r="M228" s="1" t="s">
        <v>47</v>
      </c>
      <c r="N228" s="88" t="s">
        <v>131</v>
      </c>
    </row>
    <row r="229" spans="2:14" ht="18" customHeight="1">
      <c r="B229" s="22"/>
      <c r="F229" s="134">
        <f>IF(OR(DASHBOARD!$D$111,DASHBOARD!$D$112=1),1,0)</f>
        <v>0</v>
      </c>
      <c r="G229" s="24" t="s">
        <v>418</v>
      </c>
      <c r="H229" s="165">
        <f>DASHBOARD!$D$66</f>
        <v>0.18703</v>
      </c>
      <c r="I229" s="166">
        <v>1</v>
      </c>
      <c r="J229" s="167">
        <v>100</v>
      </c>
      <c r="K229" s="167"/>
      <c r="L229" s="168">
        <f>F229*H229*I229*J229</f>
        <v>0</v>
      </c>
      <c r="N229" s="87" t="s">
        <v>132</v>
      </c>
    </row>
    <row r="230" spans="2:14" ht="18" customHeight="1">
      <c r="B230" s="22"/>
      <c r="F230" s="135" t="s">
        <v>281</v>
      </c>
      <c r="G230" s="24" t="s">
        <v>419</v>
      </c>
      <c r="H230" s="165">
        <f>DASHBOARD!$D$67</f>
        <v>1.274775</v>
      </c>
      <c r="I230" s="169">
        <v>1</v>
      </c>
      <c r="J230" s="167">
        <v>2</v>
      </c>
      <c r="K230" s="167"/>
      <c r="L230" s="168">
        <f>F229*H230*I230*J230</f>
        <v>0</v>
      </c>
      <c r="M230" s="1" t="s">
        <v>47</v>
      </c>
      <c r="N230" s="88" t="s">
        <v>131</v>
      </c>
    </row>
    <row r="231" spans="2:14">
      <c r="B231" s="22"/>
      <c r="E231" s="21">
        <v>2</v>
      </c>
      <c r="F231" s="92">
        <f>1-D25</f>
        <v>0</v>
      </c>
      <c r="G231" s="42" t="s">
        <v>21</v>
      </c>
      <c r="H231" s="3">
        <f>DASHBOARD!D41</f>
        <v>26.004000000000001</v>
      </c>
      <c r="I231" s="32">
        <f>IF(C13=0,0,C13*F232*((36+((ROUNDUP((D232*D224)/(C13*F232)/50,0))*DASHBOARD!$D$132))/60)*(8/7))</f>
        <v>0</v>
      </c>
      <c r="J231" s="55">
        <f>1/(F232*D232/100)</f>
        <v>6.6666666666666671E-3</v>
      </c>
      <c r="K231" s="55">
        <f>F231*I231*J231</f>
        <v>0</v>
      </c>
      <c r="L231" s="4">
        <f t="shared" si="10"/>
        <v>0</v>
      </c>
      <c r="M231" s="1" t="s">
        <v>167</v>
      </c>
      <c r="N231" s="87" t="s">
        <v>128</v>
      </c>
    </row>
    <row r="232" spans="2:14" ht="35.1" customHeight="1">
      <c r="B232" s="22"/>
      <c r="C232" s="26"/>
      <c r="D232" s="2">
        <f>DASHBOARD!$D$120</f>
        <v>7500</v>
      </c>
      <c r="E232" s="21" t="s">
        <v>154</v>
      </c>
      <c r="F232" s="2">
        <v>2</v>
      </c>
      <c r="G232" s="1" t="s">
        <v>22</v>
      </c>
      <c r="H232" s="3">
        <f>DASHBOARD!D64</f>
        <v>7.242172727E-2</v>
      </c>
      <c r="I232" s="32">
        <v>1</v>
      </c>
      <c r="J232" s="55">
        <f>C13*32.8*F232*J231</f>
        <v>0</v>
      </c>
      <c r="K232" s="55"/>
      <c r="L232" s="4">
        <f t="shared" si="10"/>
        <v>0</v>
      </c>
      <c r="M232" s="1" t="s">
        <v>168</v>
      </c>
      <c r="N232" s="87" t="s">
        <v>129</v>
      </c>
    </row>
    <row r="233" spans="2:14" ht="30.75" customHeight="1">
      <c r="B233" s="22"/>
      <c r="D233" s="1"/>
      <c r="E233" s="1"/>
      <c r="F233" s="1"/>
      <c r="G233" s="1" t="s">
        <v>158</v>
      </c>
      <c r="H233" s="3">
        <f>DASHBOARD!D65</f>
        <v>42.91</v>
      </c>
      <c r="I233" s="32">
        <f>I231/8</f>
        <v>0</v>
      </c>
      <c r="J233" s="55">
        <f>1/(D232/100)</f>
        <v>1.3333333333333334E-2</v>
      </c>
      <c r="K233" s="55"/>
      <c r="L233" s="4">
        <f t="shared" si="10"/>
        <v>0</v>
      </c>
      <c r="M233" s="1" t="s">
        <v>160</v>
      </c>
      <c r="N233" s="87"/>
    </row>
    <row r="234" spans="2:14" ht="30.75" customHeight="1">
      <c r="B234" s="22"/>
      <c r="G234" s="1" t="s">
        <v>23</v>
      </c>
      <c r="H234" s="3">
        <f>DASHBOARD!D66</f>
        <v>0.18703</v>
      </c>
      <c r="I234" s="91">
        <v>1</v>
      </c>
      <c r="J234" s="55">
        <v>100</v>
      </c>
      <c r="K234" s="55"/>
      <c r="L234" s="4">
        <f t="shared" si="10"/>
        <v>18.702999999999999</v>
      </c>
      <c r="N234" s="87" t="s">
        <v>132</v>
      </c>
    </row>
    <row r="235" spans="2:14">
      <c r="B235" s="22"/>
      <c r="G235" s="1" t="s">
        <v>24</v>
      </c>
      <c r="H235" s="3">
        <f>DASHBOARD!D67</f>
        <v>1.274775</v>
      </c>
      <c r="I235" s="11">
        <v>1</v>
      </c>
      <c r="J235" s="11">
        <v>2</v>
      </c>
      <c r="K235" s="11"/>
      <c r="L235" s="4">
        <f t="shared" si="10"/>
        <v>2.54955</v>
      </c>
      <c r="M235" s="1" t="s">
        <v>47</v>
      </c>
      <c r="N235" s="88" t="s">
        <v>131</v>
      </c>
    </row>
    <row r="236" spans="2:14" ht="18" customHeight="1">
      <c r="B236" s="22"/>
      <c r="F236" s="134">
        <f>IF(OR(DASHBOARD!$D$111,DASHBOARD!$D$112=1),1,0)</f>
        <v>0</v>
      </c>
      <c r="G236" s="24" t="s">
        <v>418</v>
      </c>
      <c r="H236" s="165">
        <f>DASHBOARD!$D$66</f>
        <v>0.18703</v>
      </c>
      <c r="I236" s="166">
        <v>1</v>
      </c>
      <c r="J236" s="167">
        <v>100</v>
      </c>
      <c r="K236" s="167"/>
      <c r="L236" s="168">
        <f>F236*H236*I236*J236</f>
        <v>0</v>
      </c>
      <c r="N236" s="87" t="s">
        <v>132</v>
      </c>
    </row>
    <row r="237" spans="2:14" ht="18" customHeight="1">
      <c r="B237" s="22"/>
      <c r="F237" s="135" t="s">
        <v>281</v>
      </c>
      <c r="G237" s="24" t="s">
        <v>419</v>
      </c>
      <c r="H237" s="165">
        <f>DASHBOARD!$D$67</f>
        <v>1.274775</v>
      </c>
      <c r="I237" s="169">
        <v>1</v>
      </c>
      <c r="J237" s="167">
        <v>2</v>
      </c>
      <c r="K237" s="167"/>
      <c r="L237" s="168">
        <f>F236*H237*I237*J237</f>
        <v>0</v>
      </c>
      <c r="M237" s="1" t="s">
        <v>47</v>
      </c>
      <c r="N237" s="88" t="s">
        <v>131</v>
      </c>
    </row>
    <row r="238" spans="2:14" ht="21" customHeight="1" thickBot="1">
      <c r="B238" s="9" t="s">
        <v>7</v>
      </c>
      <c r="C238" s="10"/>
      <c r="D238" s="14"/>
      <c r="E238" s="20"/>
      <c r="F238" s="14"/>
      <c r="G238" s="10"/>
      <c r="H238" s="549" t="s">
        <v>81</v>
      </c>
      <c r="I238" s="549"/>
      <c r="J238" s="549"/>
      <c r="K238" s="243"/>
      <c r="L238" s="70">
        <f>D224*(SUM(L224:L230)*F224+SUM(L231:L237)*F231)</f>
        <v>116.60928799536906</v>
      </c>
      <c r="M238" s="69" t="str">
        <f>"Per Person Cost is "&amp;ROUND(L238/100,2)&amp;" and the cost per "&amp;$C$4&amp;" people is "&amp;ROUND(L238/100*$C$4,2)</f>
        <v>Per Person Cost is 1.17 and the cost per 719993 people is 839578.71</v>
      </c>
    </row>
    <row r="239" spans="2:14" ht="21" customHeight="1">
      <c r="B239" s="23" t="s">
        <v>25</v>
      </c>
      <c r="C239" s="26">
        <f>C4</f>
        <v>719993</v>
      </c>
      <c r="D239" s="134">
        <f>(1-DASHBOARD!$D$135)*DASHBOARD!$D$139</f>
        <v>1</v>
      </c>
      <c r="E239" s="21" t="s">
        <v>337</v>
      </c>
      <c r="F239" s="2">
        <f>1-F253</f>
        <v>0.99973999999999996</v>
      </c>
      <c r="G239" s="42" t="s">
        <v>14</v>
      </c>
      <c r="H239" s="3">
        <f>DASHBOARD!D35</f>
        <v>24.612000000000002</v>
      </c>
      <c r="I239" s="1">
        <f>DASHBOARD!D150*(100/60)*(8/7)</f>
        <v>7.6190476190476186</v>
      </c>
      <c r="J239" s="1">
        <v>1</v>
      </c>
      <c r="K239" s="53">
        <f>D239*F239*I239*J239</f>
        <v>7.6170666666666662</v>
      </c>
      <c r="L239" s="4">
        <f>H239*I239*J239</f>
        <v>187.52</v>
      </c>
      <c r="M239" s="1" t="s">
        <v>50</v>
      </c>
      <c r="N239" s="87" t="s">
        <v>133</v>
      </c>
    </row>
    <row r="240" spans="2:14">
      <c r="B240" s="23"/>
      <c r="D240" s="135" t="s">
        <v>329</v>
      </c>
      <c r="F240" s="133" t="s">
        <v>332</v>
      </c>
      <c r="G240" s="42" t="s">
        <v>31</v>
      </c>
      <c r="H240" s="3">
        <f>DASHBOARD!D44</f>
        <v>48</v>
      </c>
      <c r="I240" s="11">
        <f>SUM(I244:I246)*(1/100)</f>
        <v>0.11958095238095236</v>
      </c>
      <c r="J240" s="1">
        <v>1</v>
      </c>
      <c r="K240" s="53">
        <f>D239*F239*I240*J240</f>
        <v>0.1195498613333333</v>
      </c>
      <c r="L240" s="4">
        <f t="shared" ref="L240:L266" si="11">H240*I240*J240</f>
        <v>5.7398857142857134</v>
      </c>
      <c r="M240" s="1" t="s">
        <v>136</v>
      </c>
      <c r="N240" s="87" t="s">
        <v>115</v>
      </c>
    </row>
    <row r="241" spans="2:14">
      <c r="B241" s="23" t="s">
        <v>348</v>
      </c>
      <c r="D241" s="134"/>
      <c r="G241" s="42" t="s">
        <v>32</v>
      </c>
      <c r="H241" s="3">
        <f>DASHBOARD!D49</f>
        <v>58.847999999999999</v>
      </c>
      <c r="I241" s="11">
        <f>SUM(I244:I246)*(1/10)</f>
        <v>1.1958095238095237</v>
      </c>
      <c r="J241" s="1">
        <v>1</v>
      </c>
      <c r="K241" s="53">
        <f>D239*F239*I241*J241</f>
        <v>1.1954986133333332</v>
      </c>
      <c r="L241" s="4">
        <f t="shared" si="11"/>
        <v>70.370998857142851</v>
      </c>
      <c r="M241" s="1" t="s">
        <v>137</v>
      </c>
      <c r="N241" s="87" t="s">
        <v>134</v>
      </c>
    </row>
    <row r="242" spans="2:14">
      <c r="B242" s="23" t="s">
        <v>349</v>
      </c>
      <c r="D242" s="134"/>
      <c r="G242" s="42" t="s">
        <v>33</v>
      </c>
      <c r="H242" s="3">
        <f>DASHBOARD!D50</f>
        <v>39</v>
      </c>
      <c r="I242" s="11">
        <f>SUM(I244:I246)*(1/33)</f>
        <v>0.36236652236652234</v>
      </c>
      <c r="J242" s="1">
        <v>1</v>
      </c>
      <c r="K242" s="53">
        <f>D239*F239*I242*J242</f>
        <v>0.36227230707070701</v>
      </c>
      <c r="L242" s="4">
        <f t="shared" si="11"/>
        <v>14.132294372294371</v>
      </c>
      <c r="M242" s="1" t="s">
        <v>138</v>
      </c>
      <c r="N242" s="87" t="s">
        <v>115</v>
      </c>
    </row>
    <row r="243" spans="2:14">
      <c r="B243" s="23" t="s">
        <v>350</v>
      </c>
      <c r="D243" s="134"/>
      <c r="G243" s="42" t="s">
        <v>34</v>
      </c>
      <c r="H243" s="3">
        <f>DASHBOARD!D51</f>
        <v>43.199999999999996</v>
      </c>
      <c r="I243" s="1">
        <f>SUM(I244:I246)*(1/100)</f>
        <v>0.11958095238095236</v>
      </c>
      <c r="J243" s="1">
        <v>1</v>
      </c>
      <c r="K243" s="53">
        <f>D239*F239*I243*J243</f>
        <v>0.1195498613333333</v>
      </c>
      <c r="L243" s="4">
        <f t="shared" si="11"/>
        <v>5.1658971428571414</v>
      </c>
      <c r="M243" s="1" t="s">
        <v>136</v>
      </c>
      <c r="N243" s="87" t="s">
        <v>135</v>
      </c>
    </row>
    <row r="244" spans="2:14">
      <c r="B244" s="23"/>
      <c r="D244" s="134"/>
      <c r="F244" s="2" t="s">
        <v>451</v>
      </c>
      <c r="G244" s="42" t="s">
        <v>27</v>
      </c>
      <c r="H244" s="3">
        <f>DASHBOARD!D39</f>
        <v>30</v>
      </c>
      <c r="I244" s="1">
        <f>5*(8/7)</f>
        <v>5.7142857142857135</v>
      </c>
      <c r="J244" s="1">
        <v>1</v>
      </c>
      <c r="K244" s="53">
        <f>D239*F239*I244*J244</f>
        <v>5.7127999999999988</v>
      </c>
      <c r="L244" s="4">
        <f t="shared" si="11"/>
        <v>171.42857142857142</v>
      </c>
      <c r="M244" s="1" t="s">
        <v>48</v>
      </c>
      <c r="N244" s="87" t="s">
        <v>115</v>
      </c>
    </row>
    <row r="245" spans="2:14" ht="15" customHeight="1">
      <c r="B245" s="23"/>
      <c r="D245" s="134"/>
      <c r="F245" s="2" t="s">
        <v>452</v>
      </c>
      <c r="G245" s="42" t="s">
        <v>27</v>
      </c>
      <c r="H245" s="3">
        <f>DASHBOARD!D39</f>
        <v>30</v>
      </c>
      <c r="I245" s="1">
        <f>2.13*(8/7)</f>
        <v>2.4342857142857142</v>
      </c>
      <c r="J245" s="1">
        <v>1</v>
      </c>
      <c r="K245" s="53">
        <f>D239*F239*I245*J245</f>
        <v>2.4336527999999999</v>
      </c>
      <c r="L245" s="4">
        <f t="shared" si="11"/>
        <v>73.028571428571425</v>
      </c>
      <c r="M245" s="1" t="s">
        <v>49</v>
      </c>
      <c r="N245" s="87" t="s">
        <v>115</v>
      </c>
    </row>
    <row r="246" spans="2:14">
      <c r="B246" s="23"/>
      <c r="D246" s="134"/>
      <c r="F246" s="2" t="s">
        <v>453</v>
      </c>
      <c r="G246" s="42" t="s">
        <v>27</v>
      </c>
      <c r="H246" s="3">
        <f>DASHBOARD!D39</f>
        <v>30</v>
      </c>
      <c r="I246" s="1">
        <f>(DASHBOARD!D154*100)/60*(8/7)</f>
        <v>3.8095238095238093</v>
      </c>
      <c r="J246" s="1">
        <v>1</v>
      </c>
      <c r="K246" s="53">
        <f>D239*F239*I246*J246</f>
        <v>3.8085333333333331</v>
      </c>
      <c r="L246" s="4">
        <f t="shared" si="11"/>
        <v>114.28571428571428</v>
      </c>
      <c r="M246" s="27" t="s">
        <v>77</v>
      </c>
      <c r="N246" s="87" t="s">
        <v>115</v>
      </c>
    </row>
    <row r="247" spans="2:14">
      <c r="B247" s="23"/>
      <c r="D247" s="134"/>
      <c r="G247" s="1" t="s">
        <v>41</v>
      </c>
      <c r="H247" s="3">
        <f>DASHBOARD!D57</f>
        <v>3.95</v>
      </c>
      <c r="I247" s="1">
        <v>1</v>
      </c>
      <c r="J247" s="53">
        <f>2*SUM(I244:I246)/8</f>
        <v>2.989523809523809</v>
      </c>
      <c r="K247" s="53"/>
      <c r="L247" s="4">
        <f t="shared" si="11"/>
        <v>11.808619047619047</v>
      </c>
      <c r="M247" s="1" t="s">
        <v>139</v>
      </c>
      <c r="N247" s="87" t="s">
        <v>117</v>
      </c>
    </row>
    <row r="248" spans="2:14">
      <c r="B248" s="23"/>
      <c r="D248" s="134"/>
      <c r="G248" s="1" t="s">
        <v>9</v>
      </c>
      <c r="H248" s="3">
        <f>DASHBOARD!D58</f>
        <v>13.95</v>
      </c>
      <c r="I248" s="1">
        <v>1</v>
      </c>
      <c r="J248" s="53">
        <f>2*SUM(I244:I246)/8</f>
        <v>2.989523809523809</v>
      </c>
      <c r="K248" s="53"/>
      <c r="L248" s="4">
        <f t="shared" si="11"/>
        <v>41.703857142857132</v>
      </c>
      <c r="M248" s="1" t="s">
        <v>139</v>
      </c>
      <c r="N248" s="87" t="s">
        <v>118</v>
      </c>
    </row>
    <row r="249" spans="2:14">
      <c r="B249" s="23"/>
      <c r="D249" s="134"/>
      <c r="G249" s="1" t="s">
        <v>16</v>
      </c>
      <c r="H249" s="3">
        <f>DASHBOARD!D59</f>
        <v>0.23960000000000001</v>
      </c>
      <c r="I249" s="1">
        <v>1</v>
      </c>
      <c r="J249" s="53">
        <f>ROUNDUP(I239/8,0)+(ROUNDUP(I244/8,0)+ROUNDUP(I245/8,0)+ROUNDUP(I246/8,0))*(100/DASHBOARD!$D$121)</f>
        <v>7.3829787234042552</v>
      </c>
      <c r="K249" s="53"/>
      <c r="L249" s="4">
        <f t="shared" si="11"/>
        <v>1.7689617021276596</v>
      </c>
      <c r="M249" s="1" t="s">
        <v>140</v>
      </c>
      <c r="N249" s="87" t="s">
        <v>119</v>
      </c>
    </row>
    <row r="250" spans="2:14">
      <c r="B250" s="23"/>
      <c r="D250" s="134"/>
      <c r="G250" s="1" t="s">
        <v>10</v>
      </c>
      <c r="H250" s="3">
        <f>DASHBOARD!D60</f>
        <v>1.7004999999999999</v>
      </c>
      <c r="I250" s="1">
        <v>1</v>
      </c>
      <c r="J250" s="53">
        <f>2*SUM(I244:I246)/8</f>
        <v>2.989523809523809</v>
      </c>
      <c r="K250" s="53"/>
      <c r="L250" s="4">
        <f t="shared" si="11"/>
        <v>5.0836852380952369</v>
      </c>
      <c r="M250" s="1" t="s">
        <v>139</v>
      </c>
      <c r="N250" s="87" t="s">
        <v>119</v>
      </c>
    </row>
    <row r="251" spans="2:14">
      <c r="B251" s="23"/>
      <c r="D251" s="134"/>
      <c r="G251" s="1" t="s">
        <v>28</v>
      </c>
      <c r="H251" s="3">
        <f>DASHBOARD!D75</f>
        <v>12.16</v>
      </c>
      <c r="I251" s="1">
        <v>1</v>
      </c>
      <c r="J251" s="1">
        <v>100</v>
      </c>
      <c r="K251" s="53"/>
      <c r="L251" s="4">
        <f t="shared" si="11"/>
        <v>1216</v>
      </c>
      <c r="N251" s="87" t="s">
        <v>141</v>
      </c>
    </row>
    <row r="252" spans="2:14">
      <c r="B252" s="23"/>
      <c r="D252" s="134"/>
      <c r="G252" s="1" t="s">
        <v>29</v>
      </c>
      <c r="H252" s="3">
        <f>DASHBOARD!D76</f>
        <v>0.72</v>
      </c>
      <c r="I252" s="1">
        <v>1</v>
      </c>
      <c r="J252" s="1">
        <v>100</v>
      </c>
      <c r="K252" s="53"/>
      <c r="L252" s="4">
        <f t="shared" si="11"/>
        <v>72</v>
      </c>
      <c r="N252" s="87" t="s">
        <v>142</v>
      </c>
    </row>
    <row r="253" spans="2:14">
      <c r="B253" s="23"/>
      <c r="D253" s="134"/>
      <c r="F253" s="2">
        <f>DASHBOARD!D103</f>
        <v>2.5999999999999998E-4</v>
      </c>
      <c r="G253" s="42" t="s">
        <v>14</v>
      </c>
      <c r="H253" s="3">
        <f>DASHBOARD!D35</f>
        <v>24.612000000000002</v>
      </c>
      <c r="I253" s="1">
        <f>DASHBOARD!D150*(100/60)*(8/7)</f>
        <v>7.6190476190476186</v>
      </c>
      <c r="J253" s="1">
        <v>1</v>
      </c>
      <c r="K253" s="53">
        <f>D239*F253*I253*J253</f>
        <v>1.9809523809523806E-3</v>
      </c>
      <c r="L253" s="4">
        <f>H253*I253*J253</f>
        <v>187.52</v>
      </c>
      <c r="M253" s="1" t="s">
        <v>50</v>
      </c>
      <c r="N253" s="87" t="s">
        <v>133</v>
      </c>
    </row>
    <row r="254" spans="2:14">
      <c r="B254" s="23"/>
      <c r="D254" s="134"/>
      <c r="F254" s="133" t="s">
        <v>331</v>
      </c>
      <c r="G254" s="42" t="s">
        <v>31</v>
      </c>
      <c r="H254" s="3">
        <f>DASHBOARD!D44</f>
        <v>48</v>
      </c>
      <c r="I254" s="11">
        <f>SUM(I258:I260)*(1/100)</f>
        <v>0.17672380952380951</v>
      </c>
      <c r="J254" s="1">
        <v>1</v>
      </c>
      <c r="K254" s="53">
        <f>D239*F253*I254*J254</f>
        <v>4.5948190476190465E-5</v>
      </c>
      <c r="L254" s="4">
        <f t="shared" ref="L254:L265" si="12">H254*I254*J254</f>
        <v>8.4827428571428563</v>
      </c>
      <c r="M254" s="1" t="s">
        <v>136</v>
      </c>
      <c r="N254" s="87" t="s">
        <v>115</v>
      </c>
    </row>
    <row r="255" spans="2:14">
      <c r="B255" s="23"/>
      <c r="D255" s="134"/>
      <c r="G255" s="42" t="s">
        <v>32</v>
      </c>
      <c r="H255" s="3">
        <f>DASHBOARD!D49</f>
        <v>58.847999999999999</v>
      </c>
      <c r="I255" s="11">
        <f>SUM(I258:I260)*(1/10)</f>
        <v>1.7672380952380953</v>
      </c>
      <c r="J255" s="1">
        <v>1</v>
      </c>
      <c r="K255" s="53">
        <f>D239*F253*I255*J255</f>
        <v>4.5948190476190475E-4</v>
      </c>
      <c r="L255" s="4">
        <f t="shared" si="12"/>
        <v>103.99842742857143</v>
      </c>
      <c r="M255" s="1" t="s">
        <v>137</v>
      </c>
      <c r="N255" s="87" t="s">
        <v>134</v>
      </c>
    </row>
    <row r="256" spans="2:14">
      <c r="B256" s="23"/>
      <c r="D256" s="134"/>
      <c r="G256" s="42" t="s">
        <v>33</v>
      </c>
      <c r="H256" s="3">
        <f>DASHBOARD!D50</f>
        <v>39</v>
      </c>
      <c r="I256" s="11">
        <f>SUM(I258:I260)*(1/33)</f>
        <v>0.53552669552669552</v>
      </c>
      <c r="J256" s="1">
        <v>1</v>
      </c>
      <c r="K256" s="53">
        <f>D239*F253*I256*J256</f>
        <v>1.3923694083694082E-4</v>
      </c>
      <c r="L256" s="4">
        <f t="shared" si="12"/>
        <v>20.885541125541124</v>
      </c>
      <c r="M256" s="1" t="s">
        <v>138</v>
      </c>
      <c r="N256" s="87" t="s">
        <v>115</v>
      </c>
    </row>
    <row r="257" spans="2:14">
      <c r="B257" s="23"/>
      <c r="D257" s="134"/>
      <c r="G257" s="42" t="s">
        <v>34</v>
      </c>
      <c r="H257" s="3">
        <f>DASHBOARD!D51</f>
        <v>43.199999999999996</v>
      </c>
      <c r="I257" s="1">
        <f>SUM(I258:I260)*(1/100)</f>
        <v>0.17672380952380951</v>
      </c>
      <c r="J257" s="1">
        <v>1</v>
      </c>
      <c r="K257" s="53">
        <f>D239*F253*I257*J257</f>
        <v>4.5948190476190465E-5</v>
      </c>
      <c r="L257" s="4">
        <f t="shared" si="12"/>
        <v>7.6344685714285703</v>
      </c>
      <c r="M257" s="1" t="s">
        <v>136</v>
      </c>
      <c r="N257" s="87" t="s">
        <v>135</v>
      </c>
    </row>
    <row r="258" spans="2:14">
      <c r="B258" s="23"/>
      <c r="D258" s="134"/>
      <c r="F258" s="2" t="s">
        <v>451</v>
      </c>
      <c r="G258" s="42" t="s">
        <v>27</v>
      </c>
      <c r="H258" s="3">
        <f>DASHBOARD!D39</f>
        <v>30</v>
      </c>
      <c r="I258" s="1">
        <f>5*(8/7)</f>
        <v>5.7142857142857135</v>
      </c>
      <c r="J258" s="1">
        <v>1</v>
      </c>
      <c r="K258" s="53">
        <f>D239*F253*I258*J258</f>
        <v>1.4857142857142853E-3</v>
      </c>
      <c r="L258" s="4">
        <f t="shared" si="12"/>
        <v>171.42857142857142</v>
      </c>
      <c r="M258" s="1" t="s">
        <v>48</v>
      </c>
      <c r="N258" s="87" t="s">
        <v>115</v>
      </c>
    </row>
    <row r="259" spans="2:14">
      <c r="B259" s="23"/>
      <c r="D259" s="134"/>
      <c r="F259" s="2" t="s">
        <v>452</v>
      </c>
      <c r="G259" s="42" t="s">
        <v>27</v>
      </c>
      <c r="H259" s="3">
        <f>DASHBOARD!D39</f>
        <v>30</v>
      </c>
      <c r="I259" s="1">
        <f>2.13*(8/7)</f>
        <v>2.4342857142857142</v>
      </c>
      <c r="J259" s="1">
        <v>1</v>
      </c>
      <c r="K259" s="53">
        <f>D239*F253*I259*J259</f>
        <v>6.3291428571428561E-4</v>
      </c>
      <c r="L259" s="4">
        <f t="shared" si="12"/>
        <v>73.028571428571425</v>
      </c>
      <c r="M259" s="1" t="s">
        <v>49</v>
      </c>
      <c r="N259" s="87" t="s">
        <v>115</v>
      </c>
    </row>
    <row r="260" spans="2:14">
      <c r="B260" s="23"/>
      <c r="D260" s="134"/>
      <c r="F260" s="2" t="s">
        <v>453</v>
      </c>
      <c r="G260" s="42" t="s">
        <v>27</v>
      </c>
      <c r="H260" s="3">
        <f>DASHBOARD!D39</f>
        <v>30</v>
      </c>
      <c r="I260" s="1">
        <f>(DASHBOARD!D153*100)/60*(8/7)</f>
        <v>9.5238095238095237</v>
      </c>
      <c r="J260" s="1">
        <v>1</v>
      </c>
      <c r="K260" s="53">
        <f>D239*F253*I260*J260</f>
        <v>2.476190476190476E-3</v>
      </c>
      <c r="L260" s="4">
        <f t="shared" si="12"/>
        <v>285.71428571428572</v>
      </c>
      <c r="M260" s="27" t="s">
        <v>171</v>
      </c>
      <c r="N260" s="87" t="s">
        <v>115</v>
      </c>
    </row>
    <row r="261" spans="2:14">
      <c r="B261" s="23"/>
      <c r="D261" s="134"/>
      <c r="G261" s="1" t="s">
        <v>41</v>
      </c>
      <c r="H261" s="3">
        <f>DASHBOARD!D57</f>
        <v>3.95</v>
      </c>
      <c r="I261" s="1">
        <v>1</v>
      </c>
      <c r="J261" s="53">
        <f>2*SUM(I258:I260)/8</f>
        <v>4.4180952380952379</v>
      </c>
      <c r="K261" s="53"/>
      <c r="L261" s="4">
        <f t="shared" si="12"/>
        <v>17.451476190476189</v>
      </c>
      <c r="M261" s="1" t="s">
        <v>139</v>
      </c>
      <c r="N261" s="87" t="s">
        <v>117</v>
      </c>
    </row>
    <row r="262" spans="2:14">
      <c r="B262" s="23"/>
      <c r="D262" s="134"/>
      <c r="G262" s="1" t="s">
        <v>9</v>
      </c>
      <c r="H262" s="3">
        <f>DASHBOARD!D58</f>
        <v>13.95</v>
      </c>
      <c r="I262" s="1">
        <v>1</v>
      </c>
      <c r="J262" s="53">
        <f>2*SUM(I258:I260)/8</f>
        <v>4.4180952380952379</v>
      </c>
      <c r="K262" s="53"/>
      <c r="L262" s="4">
        <f t="shared" si="12"/>
        <v>61.632428571428562</v>
      </c>
      <c r="M262" s="1" t="s">
        <v>139</v>
      </c>
      <c r="N262" s="87" t="s">
        <v>118</v>
      </c>
    </row>
    <row r="263" spans="2:14">
      <c r="B263" s="23"/>
      <c r="D263" s="134"/>
      <c r="G263" s="1" t="s">
        <v>16</v>
      </c>
      <c r="H263" s="3">
        <f>DASHBOARD!D59</f>
        <v>0.23960000000000001</v>
      </c>
      <c r="I263" s="1">
        <v>1</v>
      </c>
      <c r="J263" s="53">
        <f>ROUNDUP(I253/8,0)+(ROUNDUP(I258/8,0)+ROUNDUP(I259/8,0)+ROUNDUP(I260/8,0))*(100/DASHBOARD!$D$121)</f>
        <v>9.5106382978723403</v>
      </c>
      <c r="K263" s="53"/>
      <c r="L263" s="4">
        <f t="shared" si="12"/>
        <v>2.2787489361702127</v>
      </c>
      <c r="M263" s="1" t="s">
        <v>140</v>
      </c>
      <c r="N263" s="87" t="s">
        <v>119</v>
      </c>
    </row>
    <row r="264" spans="2:14">
      <c r="B264" s="23"/>
      <c r="D264" s="134"/>
      <c r="G264" s="1" t="s">
        <v>10</v>
      </c>
      <c r="H264" s="3">
        <f>DASHBOARD!D60</f>
        <v>1.7004999999999999</v>
      </c>
      <c r="I264" s="1">
        <v>1</v>
      </c>
      <c r="J264" s="53">
        <f>2*SUM(I258:I260)/8</f>
        <v>4.4180952380952379</v>
      </c>
      <c r="K264" s="53"/>
      <c r="L264" s="4">
        <f t="shared" si="12"/>
        <v>7.5129709523809511</v>
      </c>
      <c r="M264" s="1" t="s">
        <v>139</v>
      </c>
      <c r="N264" s="87" t="s">
        <v>119</v>
      </c>
    </row>
    <row r="265" spans="2:14">
      <c r="B265" s="23"/>
      <c r="D265" s="134"/>
      <c r="G265" s="1" t="s">
        <v>28</v>
      </c>
      <c r="H265" s="3">
        <f>DASHBOARD!D75</f>
        <v>12.16</v>
      </c>
      <c r="I265" s="1">
        <v>1</v>
      </c>
      <c r="J265" s="1">
        <v>100</v>
      </c>
      <c r="K265" s="53"/>
      <c r="L265" s="4">
        <f t="shared" si="12"/>
        <v>1216</v>
      </c>
      <c r="N265" s="87" t="s">
        <v>141</v>
      </c>
    </row>
    <row r="266" spans="2:14" ht="16.350000000000001" customHeight="1">
      <c r="B266" s="23"/>
      <c r="D266" s="134"/>
      <c r="G266" s="1" t="s">
        <v>29</v>
      </c>
      <c r="H266" s="3">
        <f>DASHBOARD!D76</f>
        <v>0.72</v>
      </c>
      <c r="I266" s="1">
        <v>1</v>
      </c>
      <c r="J266" s="1">
        <v>100</v>
      </c>
      <c r="K266" s="53"/>
      <c r="L266" s="4">
        <f t="shared" si="11"/>
        <v>72</v>
      </c>
      <c r="N266" s="87" t="s">
        <v>142</v>
      </c>
    </row>
    <row r="267" spans="2:14" ht="42.75" customHeight="1">
      <c r="B267" s="23"/>
      <c r="C267" s="26">
        <f>C4</f>
        <v>719993</v>
      </c>
      <c r="D267" s="140">
        <f>IF(DASHBOARD!$D$139=1,(1-D239),0)</f>
        <v>0</v>
      </c>
      <c r="E267" s="21" t="s">
        <v>338</v>
      </c>
      <c r="F267" s="139">
        <f>1-F281</f>
        <v>0.99896040552970056</v>
      </c>
      <c r="G267" s="42" t="s">
        <v>14</v>
      </c>
      <c r="H267" s="3">
        <f>DASHBOARD!$D$35</f>
        <v>24.612000000000002</v>
      </c>
      <c r="I267" s="11">
        <f>DASHBOARD!$D$150*(100/60)*(8/7)</f>
        <v>7.6190476190476186</v>
      </c>
      <c r="J267" s="11">
        <v>1</v>
      </c>
      <c r="K267" s="11">
        <f>D267*F267*I267*J267</f>
        <v>0</v>
      </c>
      <c r="L267" s="4">
        <f>H267*I267*J267/DASHBOARD!$D$136</f>
        <v>46.88</v>
      </c>
      <c r="M267" s="1" t="s">
        <v>50</v>
      </c>
      <c r="N267" s="87" t="s">
        <v>133</v>
      </c>
    </row>
    <row r="268" spans="2:14">
      <c r="B268" s="23"/>
      <c r="D268" s="141" t="s">
        <v>330</v>
      </c>
      <c r="E268" s="21" t="s">
        <v>333</v>
      </c>
      <c r="F268" s="133" t="s">
        <v>332</v>
      </c>
      <c r="G268" s="42" t="s">
        <v>31</v>
      </c>
      <c r="H268" s="3">
        <f>DASHBOARD!$D$44</f>
        <v>48</v>
      </c>
      <c r="I268" s="11">
        <f>SUM(I272:I274)*(1/100)</f>
        <v>0.13862857142895238</v>
      </c>
      <c r="J268" s="11">
        <v>1</v>
      </c>
      <c r="K268" s="11">
        <f>D267*F267*I268*J268</f>
        <v>0</v>
      </c>
      <c r="L268" s="4">
        <f>H268*I268*J268/DASHBOARD!$D$136</f>
        <v>1.6635428571474287</v>
      </c>
      <c r="M268" s="1" t="s">
        <v>136</v>
      </c>
      <c r="N268" s="87" t="s">
        <v>115</v>
      </c>
    </row>
    <row r="269" spans="2:14">
      <c r="B269" s="23"/>
      <c r="D269" s="140"/>
      <c r="E269" s="137" t="s">
        <v>339</v>
      </c>
      <c r="G269" s="42" t="s">
        <v>32</v>
      </c>
      <c r="H269" s="3">
        <f>DASHBOARD!$D$49</f>
        <v>58.847999999999999</v>
      </c>
      <c r="I269" s="11">
        <f>SUM(I272:I274)*(1/10)</f>
        <v>1.3862857142895237</v>
      </c>
      <c r="J269" s="11">
        <v>1</v>
      </c>
      <c r="K269" s="11">
        <f>D267*F267*I269*J269</f>
        <v>0</v>
      </c>
      <c r="L269" s="4">
        <f>H269*I269*J269/DASHBOARD!$D$136</f>
        <v>20.395035428627473</v>
      </c>
      <c r="M269" s="1" t="s">
        <v>137</v>
      </c>
      <c r="N269" s="87" t="s">
        <v>134</v>
      </c>
    </row>
    <row r="270" spans="2:14">
      <c r="B270" s="23"/>
      <c r="D270" s="140"/>
      <c r="E270" s="137" t="s">
        <v>340</v>
      </c>
      <c r="G270" s="42" t="s">
        <v>33</v>
      </c>
      <c r="H270" s="3">
        <f>DASHBOARD!$D$50</f>
        <v>39</v>
      </c>
      <c r="I270" s="11">
        <f>SUM(I272:I274)*(1/33)</f>
        <v>0.42008658008773447</v>
      </c>
      <c r="J270" s="11">
        <v>1</v>
      </c>
      <c r="K270" s="11">
        <f>D267*F267*I270*J270</f>
        <v>0</v>
      </c>
      <c r="L270" s="4">
        <f>H270*I270*J270/DASHBOARD!$D$136</f>
        <v>4.0958441558554108</v>
      </c>
      <c r="M270" s="1" t="s">
        <v>138</v>
      </c>
      <c r="N270" s="87" t="s">
        <v>115</v>
      </c>
    </row>
    <row r="271" spans="2:14">
      <c r="B271" s="23"/>
      <c r="D271" s="140"/>
      <c r="E271" s="137" t="s">
        <v>335</v>
      </c>
      <c r="G271" s="42" t="s">
        <v>34</v>
      </c>
      <c r="H271" s="3">
        <f>DASHBOARD!$D$51</f>
        <v>43.199999999999996</v>
      </c>
      <c r="I271" s="11">
        <f>SUM(I272:I274)*(1/100)</f>
        <v>0.13862857142895238</v>
      </c>
      <c r="J271" s="11">
        <v>1</v>
      </c>
      <c r="K271" s="11">
        <f>D267*F267*I271*J271</f>
        <v>0</v>
      </c>
      <c r="L271" s="4">
        <f>H271*I271*J271/DASHBOARD!$D$136</f>
        <v>1.4971885714326856</v>
      </c>
      <c r="M271" s="1" t="s">
        <v>136</v>
      </c>
      <c r="N271" s="87" t="s">
        <v>135</v>
      </c>
    </row>
    <row r="272" spans="2:14">
      <c r="B272" s="23"/>
      <c r="D272" s="140"/>
      <c r="E272" s="138" t="s">
        <v>341</v>
      </c>
      <c r="F272" s="2" t="s">
        <v>451</v>
      </c>
      <c r="G272" s="42" t="s">
        <v>27</v>
      </c>
      <c r="H272" s="3">
        <f>DASHBOARD!$D$39</f>
        <v>30</v>
      </c>
      <c r="I272" s="11">
        <f>6.6666666667*(8/7)</f>
        <v>7.6190476190857144</v>
      </c>
      <c r="J272" s="11">
        <v>1</v>
      </c>
      <c r="K272" s="11">
        <f>D267*F267*I272*J272</f>
        <v>0</v>
      </c>
      <c r="L272" s="4">
        <f>H272*I272*J272/DASHBOARD!$D$136</f>
        <v>57.142857143142855</v>
      </c>
      <c r="M272" s="1" t="s">
        <v>342</v>
      </c>
      <c r="N272" s="87" t="s">
        <v>115</v>
      </c>
    </row>
    <row r="273" spans="2:14" ht="15" customHeight="1">
      <c r="B273" s="23"/>
      <c r="D273" s="140"/>
      <c r="E273" s="143">
        <v>1</v>
      </c>
      <c r="F273" s="2" t="s">
        <v>452</v>
      </c>
      <c r="G273" s="42" t="s">
        <v>27</v>
      </c>
      <c r="H273" s="3">
        <f>DASHBOARD!$D$39</f>
        <v>30</v>
      </c>
      <c r="I273" s="11">
        <f>2.13*(8/7)</f>
        <v>2.4342857142857142</v>
      </c>
      <c r="J273" s="11">
        <v>1</v>
      </c>
      <c r="K273" s="11">
        <f>D267*F267*I273*J273</f>
        <v>0</v>
      </c>
      <c r="L273" s="4">
        <f>H273*I273*J273/DASHBOARD!$D$136</f>
        <v>18.257142857142856</v>
      </c>
      <c r="M273" s="1" t="s">
        <v>49</v>
      </c>
      <c r="N273" s="87" t="s">
        <v>115</v>
      </c>
    </row>
    <row r="274" spans="2:14">
      <c r="B274" s="23"/>
      <c r="D274" s="140"/>
      <c r="F274" s="2" t="s">
        <v>453</v>
      </c>
      <c r="G274" s="42" t="s">
        <v>27</v>
      </c>
      <c r="H274" s="3">
        <f>DASHBOARD!$D$39</f>
        <v>30</v>
      </c>
      <c r="I274" s="11">
        <f>(DASHBOARD!$D$154*100)/60*(8/7)</f>
        <v>3.8095238095238093</v>
      </c>
      <c r="J274" s="11">
        <v>1</v>
      </c>
      <c r="K274" s="11">
        <f>D267*F267*I274*J274</f>
        <v>0</v>
      </c>
      <c r="L274" s="4">
        <f t="shared" ref="L274" si="13">H274*I274*J274</f>
        <v>114.28571428571428</v>
      </c>
      <c r="M274" s="27" t="s">
        <v>77</v>
      </c>
      <c r="N274" s="87" t="s">
        <v>115</v>
      </c>
    </row>
    <row r="275" spans="2:14">
      <c r="B275" s="23"/>
      <c r="D275" s="140"/>
      <c r="G275" s="1" t="s">
        <v>41</v>
      </c>
      <c r="H275" s="3">
        <f>DASHBOARD!$D$57</f>
        <v>3.95</v>
      </c>
      <c r="I275" s="11">
        <v>1</v>
      </c>
      <c r="J275" s="55">
        <f>2*SUM(I272:I274)/8</f>
        <v>3.4657142857238092</v>
      </c>
      <c r="K275" s="55"/>
      <c r="L275" s="4">
        <f>H275*I275*J275/DASHBOARD!$D$136</f>
        <v>3.4223928571522619</v>
      </c>
      <c r="M275" s="1" t="s">
        <v>139</v>
      </c>
      <c r="N275" s="87" t="s">
        <v>117</v>
      </c>
    </row>
    <row r="276" spans="2:14">
      <c r="B276" s="23"/>
      <c r="D276" s="140"/>
      <c r="G276" s="1" t="s">
        <v>9</v>
      </c>
      <c r="H276" s="3">
        <f>DASHBOARD!$D$58</f>
        <v>13.95</v>
      </c>
      <c r="I276" s="11">
        <v>1</v>
      </c>
      <c r="J276" s="55">
        <f>2*SUM(I272:I274)/8</f>
        <v>3.4657142857238092</v>
      </c>
      <c r="K276" s="55"/>
      <c r="L276" s="4">
        <f>H276*I276*J276/DASHBOARD!$D$136</f>
        <v>12.086678571461784</v>
      </c>
      <c r="M276" s="1" t="s">
        <v>139</v>
      </c>
      <c r="N276" s="87" t="s">
        <v>118</v>
      </c>
    </row>
    <row r="277" spans="2:14">
      <c r="B277" s="23"/>
      <c r="D277" s="140"/>
      <c r="G277" s="1" t="s">
        <v>16</v>
      </c>
      <c r="H277" s="3">
        <f>DASHBOARD!$D$59</f>
        <v>0.23960000000000001</v>
      </c>
      <c r="I277" s="11">
        <v>1</v>
      </c>
      <c r="J277" s="55">
        <f>ROUNDUP(I267/8,0)+(ROUNDUP(I272/8,0)+ROUNDUP(I273/8,0)+ROUNDUP(I274/8,0))*(100/DASHBOARD!$D$121)</f>
        <v>7.3829787234042552</v>
      </c>
      <c r="K277" s="55"/>
      <c r="L277" s="4">
        <f>H277*I277*J277/DASHBOARD!$D$136</f>
        <v>0.44224042553191489</v>
      </c>
      <c r="M277" s="1" t="s">
        <v>140</v>
      </c>
      <c r="N277" s="87" t="s">
        <v>119</v>
      </c>
    </row>
    <row r="278" spans="2:14">
      <c r="B278" s="23"/>
      <c r="D278" s="140"/>
      <c r="G278" s="1" t="s">
        <v>10</v>
      </c>
      <c r="H278" s="3">
        <f>DASHBOARD!$D$60</f>
        <v>1.7004999999999999</v>
      </c>
      <c r="I278" s="11">
        <v>1</v>
      </c>
      <c r="J278" s="55">
        <f>2*SUM(I272:I274)/8</f>
        <v>3.4657142857238092</v>
      </c>
      <c r="K278" s="55"/>
      <c r="L278" s="4">
        <f>H278*I278*J278/DASHBOARD!$D$136</f>
        <v>1.4733617857183343</v>
      </c>
      <c r="M278" s="1" t="s">
        <v>139</v>
      </c>
      <c r="N278" s="87" t="s">
        <v>119</v>
      </c>
    </row>
    <row r="279" spans="2:14">
      <c r="B279" s="23"/>
      <c r="D279" s="140"/>
      <c r="G279" s="1" t="s">
        <v>28</v>
      </c>
      <c r="H279" s="3">
        <f>DASHBOARD!$D$75</f>
        <v>12.16</v>
      </c>
      <c r="I279" s="11">
        <v>1</v>
      </c>
      <c r="J279" s="11">
        <v>100</v>
      </c>
      <c r="K279" s="11"/>
      <c r="L279" s="4">
        <f>H279*I279*J279/DASHBOARD!$D$136</f>
        <v>304</v>
      </c>
      <c r="N279" s="87" t="s">
        <v>141</v>
      </c>
    </row>
    <row r="280" spans="2:14">
      <c r="B280" s="23"/>
      <c r="C280" s="3"/>
      <c r="D280" s="140"/>
      <c r="G280" s="1" t="s">
        <v>29</v>
      </c>
      <c r="H280" s="3">
        <f>DASHBOARD!$D$76</f>
        <v>0.72</v>
      </c>
      <c r="I280" s="11">
        <v>1</v>
      </c>
      <c r="J280" s="11">
        <v>100</v>
      </c>
      <c r="K280" s="11"/>
      <c r="L280" s="4">
        <f>H280*I280*J280/DASHBOARD!$D$136</f>
        <v>18</v>
      </c>
      <c r="N280" s="87" t="s">
        <v>142</v>
      </c>
    </row>
    <row r="281" spans="2:14">
      <c r="B281" s="23"/>
      <c r="C281" s="3"/>
      <c r="D281" s="140"/>
      <c r="F281" s="139">
        <f>1-(F239^DASHBOARD!$D$136)</f>
        <v>1.0395944702994431E-3</v>
      </c>
      <c r="G281" s="42" t="s">
        <v>14</v>
      </c>
      <c r="H281" s="3">
        <f>DASHBOARD!$D$35</f>
        <v>24.612000000000002</v>
      </c>
      <c r="I281" s="11">
        <f>DASHBOARD!$D$150*(100/60)*(8/7)</f>
        <v>7.6190476190476186</v>
      </c>
      <c r="J281" s="11">
        <v>1</v>
      </c>
      <c r="K281" s="11">
        <f>D267*F281*I281*J281</f>
        <v>0</v>
      </c>
      <c r="L281" s="4">
        <f>H281*I281*J281/DASHBOARD!$D$136</f>
        <v>46.88</v>
      </c>
      <c r="M281" s="1" t="s">
        <v>50</v>
      </c>
      <c r="N281" s="87" t="s">
        <v>133</v>
      </c>
    </row>
    <row r="282" spans="2:14">
      <c r="B282" s="23"/>
      <c r="C282" s="3"/>
      <c r="D282" s="140"/>
      <c r="F282" s="133" t="s">
        <v>331</v>
      </c>
      <c r="G282" s="42" t="s">
        <v>31</v>
      </c>
      <c r="H282" s="3">
        <f>DASHBOARD!$D$44</f>
        <v>48</v>
      </c>
      <c r="I282" s="11">
        <f>SUM(I286:I288)*(1/100)</f>
        <v>0.19577142857180951</v>
      </c>
      <c r="J282" s="11">
        <v>1</v>
      </c>
      <c r="K282" s="11">
        <f>D267*F281*I282*J282</f>
        <v>0</v>
      </c>
      <c r="L282" s="4">
        <f>H282*I282*J282/DASHBOARD!$D$136</f>
        <v>2.3492571428617142</v>
      </c>
      <c r="M282" s="1" t="s">
        <v>136</v>
      </c>
      <c r="N282" s="87" t="s">
        <v>115</v>
      </c>
    </row>
    <row r="283" spans="2:14">
      <c r="B283" s="23"/>
      <c r="C283" s="3"/>
      <c r="D283" s="140"/>
      <c r="G283" s="42" t="s">
        <v>32</v>
      </c>
      <c r="H283" s="3">
        <f>DASHBOARD!$D$49</f>
        <v>58.847999999999999</v>
      </c>
      <c r="I283" s="11">
        <f>SUM(I286:I288)*(1/10)</f>
        <v>1.9577142857180954</v>
      </c>
      <c r="J283" s="11">
        <v>1</v>
      </c>
      <c r="K283" s="11">
        <f>D267*F281*I283*J283</f>
        <v>0</v>
      </c>
      <c r="L283" s="4">
        <f>H283*I283*J283/DASHBOARD!$D$136</f>
        <v>28.801892571484618</v>
      </c>
      <c r="M283" s="1" t="s">
        <v>137</v>
      </c>
      <c r="N283" s="87" t="s">
        <v>134</v>
      </c>
    </row>
    <row r="284" spans="2:14">
      <c r="B284" s="23"/>
      <c r="D284" s="140"/>
      <c r="G284" s="42" t="s">
        <v>33</v>
      </c>
      <c r="H284" s="3">
        <f>DASHBOARD!$D$50</f>
        <v>39</v>
      </c>
      <c r="I284" s="11">
        <f>SUM(I286:I288)*(1/33)</f>
        <v>0.59324675324790765</v>
      </c>
      <c r="J284" s="11">
        <v>1</v>
      </c>
      <c r="K284" s="11">
        <f>D267*F281*I284*J284</f>
        <v>0</v>
      </c>
      <c r="L284" s="4">
        <f>H284*I284*J284/DASHBOARD!$D$136</f>
        <v>5.7841558441670999</v>
      </c>
      <c r="M284" s="1" t="s">
        <v>138</v>
      </c>
      <c r="N284" s="87" t="s">
        <v>115</v>
      </c>
    </row>
    <row r="285" spans="2:14">
      <c r="B285" s="23"/>
      <c r="D285" s="140"/>
      <c r="G285" s="42" t="s">
        <v>34</v>
      </c>
      <c r="H285" s="3">
        <f>DASHBOARD!$D$51</f>
        <v>43.199999999999996</v>
      </c>
      <c r="I285" s="11">
        <f>SUM(I286:I288)*(1/100)</f>
        <v>0.19577142857180951</v>
      </c>
      <c r="J285" s="11">
        <v>1</v>
      </c>
      <c r="K285" s="11">
        <f>D267*F281*I285*J285</f>
        <v>0</v>
      </c>
      <c r="L285" s="4">
        <f>H285*I285*J285/DASHBOARD!$D$136</f>
        <v>2.1143314285755426</v>
      </c>
      <c r="M285" s="1" t="s">
        <v>136</v>
      </c>
      <c r="N285" s="87" t="s">
        <v>135</v>
      </c>
    </row>
    <row r="286" spans="2:14">
      <c r="B286" s="23"/>
      <c r="D286" s="140"/>
      <c r="F286" s="2" t="s">
        <v>451</v>
      </c>
      <c r="G286" s="42" t="s">
        <v>27</v>
      </c>
      <c r="H286" s="3">
        <f>DASHBOARD!$D$39</f>
        <v>30</v>
      </c>
      <c r="I286" s="11">
        <f>6.6666666667*(8/7)</f>
        <v>7.6190476190857144</v>
      </c>
      <c r="J286" s="11">
        <v>1</v>
      </c>
      <c r="K286" s="11">
        <f>D267*F281*I286*J286</f>
        <v>0</v>
      </c>
      <c r="L286" s="4">
        <f>H286*I286*J286/DASHBOARD!$D$136</f>
        <v>57.142857143142855</v>
      </c>
      <c r="M286" s="1" t="s">
        <v>342</v>
      </c>
      <c r="N286" s="87" t="s">
        <v>115</v>
      </c>
    </row>
    <row r="287" spans="2:14">
      <c r="B287" s="23"/>
      <c r="D287" s="140"/>
      <c r="F287" s="2" t="s">
        <v>452</v>
      </c>
      <c r="G287" s="42" t="s">
        <v>27</v>
      </c>
      <c r="H287" s="3">
        <f>DASHBOARD!$D$39</f>
        <v>30</v>
      </c>
      <c r="I287" s="11">
        <f>2.13*(8/7)</f>
        <v>2.4342857142857142</v>
      </c>
      <c r="J287" s="11">
        <v>1</v>
      </c>
      <c r="K287" s="11">
        <f>D267*F281*I287*J287</f>
        <v>0</v>
      </c>
      <c r="L287" s="4">
        <f>H287*I287*J287/DASHBOARD!$D$136</f>
        <v>18.257142857142856</v>
      </c>
      <c r="M287" s="1" t="s">
        <v>49</v>
      </c>
      <c r="N287" s="87" t="s">
        <v>115</v>
      </c>
    </row>
    <row r="288" spans="2:14">
      <c r="B288" s="23"/>
      <c r="D288" s="140"/>
      <c r="F288" s="2" t="s">
        <v>453</v>
      </c>
      <c r="G288" s="42" t="s">
        <v>27</v>
      </c>
      <c r="H288" s="3">
        <f>DASHBOARD!$D$39</f>
        <v>30</v>
      </c>
      <c r="I288" s="11">
        <f>(DASHBOARD!$D$153*100)/60*(8/7)</f>
        <v>9.5238095238095237</v>
      </c>
      <c r="J288" s="11">
        <v>1</v>
      </c>
      <c r="K288" s="11">
        <f>D267*F281*I288*J288</f>
        <v>0</v>
      </c>
      <c r="L288" s="4">
        <f>H288*I288*J288*0</f>
        <v>0</v>
      </c>
      <c r="M288" s="27" t="s">
        <v>345</v>
      </c>
      <c r="N288" s="87" t="s">
        <v>115</v>
      </c>
    </row>
    <row r="289" spans="2:14">
      <c r="B289" s="23"/>
      <c r="D289" s="140"/>
      <c r="G289" s="1" t="s">
        <v>41</v>
      </c>
      <c r="H289" s="3">
        <f>DASHBOARD!$D$57</f>
        <v>3.95</v>
      </c>
      <c r="I289" s="11">
        <v>1</v>
      </c>
      <c r="J289" s="55">
        <f>2*SUM(I286:I288)/8</f>
        <v>4.8942857142952381</v>
      </c>
      <c r="K289" s="55"/>
      <c r="L289" s="4">
        <f>H289*I289*J289/DASHBOARD!$D$136</f>
        <v>4.833107142866548</v>
      </c>
      <c r="M289" s="1" t="s">
        <v>139</v>
      </c>
      <c r="N289" s="87" t="s">
        <v>117</v>
      </c>
    </row>
    <row r="290" spans="2:14">
      <c r="B290" s="23"/>
      <c r="D290" s="140"/>
      <c r="G290" s="1" t="s">
        <v>9</v>
      </c>
      <c r="H290" s="3">
        <f>DASHBOARD!$D$58</f>
        <v>13.95</v>
      </c>
      <c r="I290" s="11">
        <v>1</v>
      </c>
      <c r="J290" s="55">
        <f>2*SUM(I286:I288)/8</f>
        <v>4.8942857142952381</v>
      </c>
      <c r="K290" s="55"/>
      <c r="L290" s="4">
        <f>H290*I290*J290/DASHBOARD!$D$136</f>
        <v>17.068821428604643</v>
      </c>
      <c r="M290" s="1" t="s">
        <v>139</v>
      </c>
      <c r="N290" s="87" t="s">
        <v>118</v>
      </c>
    </row>
    <row r="291" spans="2:14">
      <c r="B291" s="23"/>
      <c r="D291" s="140"/>
      <c r="G291" s="1" t="s">
        <v>16</v>
      </c>
      <c r="H291" s="3">
        <f>DASHBOARD!$D$59</f>
        <v>0.23960000000000001</v>
      </c>
      <c r="I291" s="11">
        <v>1</v>
      </c>
      <c r="J291" s="55">
        <f>ROUNDUP(I281/8,0)+(ROUNDUP(I286/8,0)+ROUNDUP(I287/8,0)+ROUNDUP(I288/8,0))*(100/DASHBOARD!$D$121)</f>
        <v>9.5106382978723403</v>
      </c>
      <c r="K291" s="55"/>
      <c r="L291" s="4">
        <f>H291*I291*J291/DASHBOARD!$D$136</f>
        <v>0.56968723404255317</v>
      </c>
      <c r="M291" s="1" t="s">
        <v>140</v>
      </c>
      <c r="N291" s="87" t="s">
        <v>119</v>
      </c>
    </row>
    <row r="292" spans="2:14">
      <c r="B292" s="23"/>
      <c r="D292" s="140"/>
      <c r="G292" s="1" t="s">
        <v>10</v>
      </c>
      <c r="H292" s="3">
        <f>DASHBOARD!$D$60</f>
        <v>1.7004999999999999</v>
      </c>
      <c r="I292" s="11">
        <v>1</v>
      </c>
      <c r="J292" s="55">
        <f>2*SUM(I286:I288)/8</f>
        <v>4.8942857142952381</v>
      </c>
      <c r="K292" s="55"/>
      <c r="L292" s="4">
        <f>H292*I292*J292/DASHBOARD!$D$136</f>
        <v>2.0806832142897629</v>
      </c>
      <c r="M292" s="1" t="s">
        <v>139</v>
      </c>
      <c r="N292" s="87" t="s">
        <v>119</v>
      </c>
    </row>
    <row r="293" spans="2:14">
      <c r="B293" s="23"/>
      <c r="D293" s="140"/>
      <c r="G293" s="1" t="s">
        <v>28</v>
      </c>
      <c r="H293" s="3">
        <f>DASHBOARD!$D$75</f>
        <v>12.16</v>
      </c>
      <c r="I293" s="11">
        <v>1</v>
      </c>
      <c r="J293" s="11">
        <v>100</v>
      </c>
      <c r="K293" s="11"/>
      <c r="L293" s="4">
        <f>H293*I293*J293/DASHBOARD!$D$136</f>
        <v>304</v>
      </c>
      <c r="N293" s="87" t="s">
        <v>141</v>
      </c>
    </row>
    <row r="294" spans="2:14" ht="16.350000000000001" customHeight="1">
      <c r="B294" s="23"/>
      <c r="D294" s="140"/>
      <c r="G294" s="1" t="s">
        <v>29</v>
      </c>
      <c r="H294" s="3">
        <f>DASHBOARD!$D$76</f>
        <v>0.72</v>
      </c>
      <c r="I294" s="11">
        <v>1</v>
      </c>
      <c r="J294" s="11">
        <v>100</v>
      </c>
      <c r="K294" s="11"/>
      <c r="L294" s="4">
        <f>H294*I294*J294/DASHBOARD!$D$136</f>
        <v>18</v>
      </c>
      <c r="N294" s="87" t="s">
        <v>142</v>
      </c>
    </row>
    <row r="295" spans="2:14" ht="16.350000000000001" customHeight="1">
      <c r="B295" s="23"/>
      <c r="D295" s="140"/>
      <c r="E295" s="21" t="s">
        <v>338</v>
      </c>
      <c r="F295" s="139">
        <f>1-F309</f>
        <v>0.74990247887225681</v>
      </c>
      <c r="G295" s="42" t="s">
        <v>14</v>
      </c>
      <c r="H295" s="3">
        <f>DASHBOARD!$D$35</f>
        <v>24.612000000000002</v>
      </c>
      <c r="I295" s="11">
        <f>DASHBOARD!$D$150*(100/60)*(8/7)</f>
        <v>7.6190476190476186</v>
      </c>
      <c r="J295" s="11">
        <v>1</v>
      </c>
      <c r="K295" s="11">
        <f>D267*E301*F295*I295*J295</f>
        <v>0</v>
      </c>
      <c r="L295" s="4">
        <f>H295*I295*J295</f>
        <v>187.52</v>
      </c>
      <c r="M295" s="1" t="s">
        <v>50</v>
      </c>
      <c r="N295" s="87" t="s">
        <v>133</v>
      </c>
    </row>
    <row r="296" spans="2:14" ht="16.350000000000001" customHeight="1">
      <c r="B296" s="23"/>
      <c r="D296" s="140"/>
      <c r="E296" s="21" t="s">
        <v>334</v>
      </c>
      <c r="F296" s="133" t="s">
        <v>332</v>
      </c>
      <c r="G296" s="42" t="s">
        <v>31</v>
      </c>
      <c r="H296" s="3">
        <f>DASHBOARD!$D$44</f>
        <v>48</v>
      </c>
      <c r="I296" s="11">
        <f>SUM(I300:I302)*(1/100)</f>
        <v>0.11958095238095236</v>
      </c>
      <c r="J296" s="11">
        <v>1</v>
      </c>
      <c r="K296" s="11">
        <f>D267*E301*F295*I296*J296</f>
        <v>0</v>
      </c>
      <c r="L296" s="4">
        <f>H296*I296*J296</f>
        <v>5.7398857142857134</v>
      </c>
      <c r="M296" s="1" t="s">
        <v>136</v>
      </c>
      <c r="N296" s="87" t="s">
        <v>115</v>
      </c>
    </row>
    <row r="297" spans="2:14" ht="16.350000000000001" customHeight="1">
      <c r="B297" s="23"/>
      <c r="D297" s="140"/>
      <c r="E297" s="137" t="s">
        <v>339</v>
      </c>
      <c r="G297" s="42" t="s">
        <v>32</v>
      </c>
      <c r="H297" s="3">
        <f>DASHBOARD!$D$49</f>
        <v>58.847999999999999</v>
      </c>
      <c r="I297" s="11">
        <f>SUM(I300:I302)*(1/10)</f>
        <v>1.1958095238095237</v>
      </c>
      <c r="J297" s="11">
        <v>1</v>
      </c>
      <c r="K297" s="11">
        <f>D267*E301*F295*I297*J297</f>
        <v>0</v>
      </c>
      <c r="L297" s="4">
        <f>H297*I297*J297</f>
        <v>70.370998857142851</v>
      </c>
      <c r="M297" s="1" t="s">
        <v>137</v>
      </c>
      <c r="N297" s="87" t="s">
        <v>134</v>
      </c>
    </row>
    <row r="298" spans="2:14" ht="16.350000000000001" customHeight="1">
      <c r="B298" s="23"/>
      <c r="D298" s="140"/>
      <c r="E298" s="137" t="s">
        <v>340</v>
      </c>
      <c r="G298" s="42" t="s">
        <v>33</v>
      </c>
      <c r="H298" s="3">
        <f>DASHBOARD!$D$50</f>
        <v>39</v>
      </c>
      <c r="I298" s="11">
        <f>SUM(I300:I302)*(1/33)</f>
        <v>0.36236652236652234</v>
      </c>
      <c r="J298" s="11">
        <v>1</v>
      </c>
      <c r="K298" s="11">
        <f>D267*E301*F295*I298*J298</f>
        <v>0</v>
      </c>
      <c r="L298" s="4">
        <f>H298*I298*J298</f>
        <v>14.132294372294371</v>
      </c>
      <c r="M298" s="1" t="s">
        <v>138</v>
      </c>
      <c r="N298" s="87" t="s">
        <v>115</v>
      </c>
    </row>
    <row r="299" spans="2:14" ht="16.350000000000001" customHeight="1">
      <c r="B299" s="23"/>
      <c r="D299" s="140"/>
      <c r="E299" s="137" t="s">
        <v>336</v>
      </c>
      <c r="G299" s="42" t="s">
        <v>34</v>
      </c>
      <c r="H299" s="3">
        <f>DASHBOARD!$D$51</f>
        <v>43.199999999999996</v>
      </c>
      <c r="I299" s="11">
        <f>SUM(I300:I302)*(1/100)</f>
        <v>0.11958095238095236</v>
      </c>
      <c r="J299" s="11">
        <v>1</v>
      </c>
      <c r="K299" s="11">
        <f>D267*E301*F295*I299*J299</f>
        <v>0</v>
      </c>
      <c r="L299" s="4">
        <f>H299*I299*J299</f>
        <v>5.1658971428571414</v>
      </c>
      <c r="M299" s="1" t="s">
        <v>136</v>
      </c>
      <c r="N299" s="87" t="s">
        <v>135</v>
      </c>
    </row>
    <row r="300" spans="2:14" ht="16.350000000000001" customHeight="1">
      <c r="B300" s="23"/>
      <c r="D300" s="140"/>
      <c r="E300" s="138" t="s">
        <v>341</v>
      </c>
      <c r="F300" s="2" t="s">
        <v>451</v>
      </c>
      <c r="G300" s="42" t="s">
        <v>27</v>
      </c>
      <c r="H300" s="3">
        <f>DASHBOARD!$D$39</f>
        <v>30</v>
      </c>
      <c r="I300" s="11">
        <f>5*(8/7)</f>
        <v>5.7142857142857135</v>
      </c>
      <c r="J300" s="11">
        <v>1</v>
      </c>
      <c r="K300" s="11">
        <f>D267*E301*F295*I300*J300</f>
        <v>0</v>
      </c>
      <c r="L300" s="4">
        <f t="shared" ref="L300:L322" si="14">H300*I300*J300</f>
        <v>171.42857142857142</v>
      </c>
      <c r="M300" s="1" t="s">
        <v>48</v>
      </c>
      <c r="N300" s="87" t="s">
        <v>115</v>
      </c>
    </row>
    <row r="301" spans="2:14" ht="16.350000000000001" customHeight="1">
      <c r="B301" s="23"/>
      <c r="D301" s="140"/>
      <c r="E301" s="142">
        <f>F281</f>
        <v>1.0395944702994431E-3</v>
      </c>
      <c r="F301" s="2" t="s">
        <v>452</v>
      </c>
      <c r="G301" s="42" t="s">
        <v>27</v>
      </c>
      <c r="H301" s="3">
        <f>DASHBOARD!$D$39</f>
        <v>30</v>
      </c>
      <c r="I301" s="11">
        <f>2.13*(8/7)</f>
        <v>2.4342857142857142</v>
      </c>
      <c r="J301" s="11">
        <v>1</v>
      </c>
      <c r="K301" s="11">
        <f>D267*E301*F295*I301*J301</f>
        <v>0</v>
      </c>
      <c r="L301" s="4">
        <f t="shared" si="14"/>
        <v>73.028571428571425</v>
      </c>
      <c r="M301" s="1" t="s">
        <v>49</v>
      </c>
      <c r="N301" s="87" t="s">
        <v>115</v>
      </c>
    </row>
    <row r="302" spans="2:14" ht="16.350000000000001" customHeight="1">
      <c r="B302" s="23"/>
      <c r="D302" s="140"/>
      <c r="E302" s="137"/>
      <c r="F302" s="2" t="s">
        <v>453</v>
      </c>
      <c r="G302" s="42" t="s">
        <v>27</v>
      </c>
      <c r="H302" s="3">
        <f>DASHBOARD!$D$39</f>
        <v>30</v>
      </c>
      <c r="I302" s="11">
        <f>(DASHBOARD!$D$154*100)/60*(8/7)</f>
        <v>3.8095238095238093</v>
      </c>
      <c r="J302" s="11">
        <v>1</v>
      </c>
      <c r="K302" s="11">
        <f>D267*E301*F295*I302*J302</f>
        <v>0</v>
      </c>
      <c r="L302" s="4">
        <f t="shared" si="14"/>
        <v>114.28571428571428</v>
      </c>
      <c r="M302" s="27" t="s">
        <v>77</v>
      </c>
      <c r="N302" s="87" t="s">
        <v>115</v>
      </c>
    </row>
    <row r="303" spans="2:14" ht="16.350000000000001" customHeight="1">
      <c r="B303" s="23"/>
      <c r="D303" s="140"/>
      <c r="G303" s="1" t="s">
        <v>41</v>
      </c>
      <c r="H303" s="3">
        <f>DASHBOARD!$D$57</f>
        <v>3.95</v>
      </c>
      <c r="I303" s="11">
        <v>1</v>
      </c>
      <c r="J303" s="55">
        <f>2*SUM(I300:I302)/8</f>
        <v>2.989523809523809</v>
      </c>
      <c r="K303" s="55"/>
      <c r="L303" s="4">
        <f t="shared" si="14"/>
        <v>11.808619047619047</v>
      </c>
      <c r="M303" s="1" t="s">
        <v>139</v>
      </c>
      <c r="N303" s="87" t="s">
        <v>117</v>
      </c>
    </row>
    <row r="304" spans="2:14" ht="16.350000000000001" customHeight="1">
      <c r="B304" s="23"/>
      <c r="D304" s="140"/>
      <c r="G304" s="1" t="s">
        <v>9</v>
      </c>
      <c r="H304" s="3">
        <f>DASHBOARD!$D$58</f>
        <v>13.95</v>
      </c>
      <c r="I304" s="11">
        <v>1</v>
      </c>
      <c r="J304" s="55">
        <f>2*SUM(I300:I302)/8</f>
        <v>2.989523809523809</v>
      </c>
      <c r="K304" s="55"/>
      <c r="L304" s="4">
        <f t="shared" si="14"/>
        <v>41.703857142857132</v>
      </c>
      <c r="M304" s="1" t="s">
        <v>139</v>
      </c>
      <c r="N304" s="87" t="s">
        <v>118</v>
      </c>
    </row>
    <row r="305" spans="2:14" ht="16.350000000000001" customHeight="1">
      <c r="B305" s="23"/>
      <c r="D305" s="140"/>
      <c r="G305" s="1" t="s">
        <v>16</v>
      </c>
      <c r="H305" s="3">
        <f>DASHBOARD!$D$59</f>
        <v>0.23960000000000001</v>
      </c>
      <c r="I305" s="11">
        <v>1</v>
      </c>
      <c r="J305" s="55">
        <f>ROUNDUP(I295/8,0)+(ROUNDUP(I300/8,0)+ROUNDUP(I301/8,0)+ROUNDUP(I302/8,0))*(100/DASHBOARD!$D$121)</f>
        <v>7.3829787234042552</v>
      </c>
      <c r="K305" s="55"/>
      <c r="L305" s="4">
        <f t="shared" si="14"/>
        <v>1.7689617021276596</v>
      </c>
      <c r="M305" s="1" t="s">
        <v>140</v>
      </c>
      <c r="N305" s="87" t="s">
        <v>119</v>
      </c>
    </row>
    <row r="306" spans="2:14" ht="16.350000000000001" customHeight="1">
      <c r="B306" s="23"/>
      <c r="D306" s="140"/>
      <c r="G306" s="1" t="s">
        <v>10</v>
      </c>
      <c r="H306" s="3">
        <f>DASHBOARD!$D$60</f>
        <v>1.7004999999999999</v>
      </c>
      <c r="I306" s="11">
        <v>1</v>
      </c>
      <c r="J306" s="55">
        <f>2*SUM(I300:I302)/8</f>
        <v>2.989523809523809</v>
      </c>
      <c r="K306" s="55"/>
      <c r="L306" s="4">
        <f t="shared" si="14"/>
        <v>5.0836852380952369</v>
      </c>
      <c r="M306" s="1" t="s">
        <v>139</v>
      </c>
      <c r="N306" s="87" t="s">
        <v>119</v>
      </c>
    </row>
    <row r="307" spans="2:14" ht="16.350000000000001" customHeight="1">
      <c r="B307" s="23"/>
      <c r="D307" s="140"/>
      <c r="G307" s="1" t="s">
        <v>28</v>
      </c>
      <c r="H307" s="3">
        <f>DASHBOARD!$D$75</f>
        <v>12.16</v>
      </c>
      <c r="I307" s="11">
        <v>1</v>
      </c>
      <c r="J307" s="11">
        <v>100</v>
      </c>
      <c r="K307" s="11"/>
      <c r="L307" s="4">
        <f t="shared" si="14"/>
        <v>1216</v>
      </c>
      <c r="N307" s="87" t="s">
        <v>141</v>
      </c>
    </row>
    <row r="308" spans="2:14" ht="16.350000000000001" customHeight="1">
      <c r="B308" s="23"/>
      <c r="D308" s="140"/>
      <c r="G308" s="1" t="s">
        <v>29</v>
      </c>
      <c r="H308" s="3">
        <f>DASHBOARD!$D$76</f>
        <v>0.72</v>
      </c>
      <c r="I308" s="11">
        <v>1</v>
      </c>
      <c r="J308" s="11">
        <v>100</v>
      </c>
      <c r="K308" s="11"/>
      <c r="L308" s="4">
        <f t="shared" si="14"/>
        <v>72</v>
      </c>
      <c r="N308" s="87" t="s">
        <v>142</v>
      </c>
    </row>
    <row r="309" spans="2:14" ht="16.350000000000001" customHeight="1">
      <c r="B309" s="23"/>
      <c r="D309" s="140"/>
      <c r="F309" s="139">
        <f>DASHBOARD!$D$103/E301</f>
        <v>0.25009752112774319</v>
      </c>
      <c r="G309" s="42" t="s">
        <v>14</v>
      </c>
      <c r="H309" s="3">
        <f>DASHBOARD!$D$35</f>
        <v>24.612000000000002</v>
      </c>
      <c r="I309" s="11">
        <f>DASHBOARD!$D$150*(100/60)*(8/7)</f>
        <v>7.6190476190476186</v>
      </c>
      <c r="J309" s="11">
        <v>1</v>
      </c>
      <c r="K309" s="11">
        <f>D267*E301*F309*I309*J309</f>
        <v>0</v>
      </c>
      <c r="L309" s="4">
        <f t="shared" si="14"/>
        <v>187.52</v>
      </c>
      <c r="M309" s="1" t="s">
        <v>50</v>
      </c>
      <c r="N309" s="87" t="s">
        <v>133</v>
      </c>
    </row>
    <row r="310" spans="2:14" ht="16.350000000000001" customHeight="1">
      <c r="B310" s="23"/>
      <c r="D310" s="140"/>
      <c r="F310" s="133" t="s">
        <v>331</v>
      </c>
      <c r="G310" s="42" t="s">
        <v>31</v>
      </c>
      <c r="H310" s="3">
        <f>DASHBOARD!$D$44</f>
        <v>48</v>
      </c>
      <c r="I310" s="11">
        <f>SUM(I314:I316)*(1/100)</f>
        <v>0.17672380952380951</v>
      </c>
      <c r="J310" s="11">
        <v>1</v>
      </c>
      <c r="K310" s="11">
        <f>D267*E301*F309*I310*J310</f>
        <v>0</v>
      </c>
      <c r="L310" s="4">
        <f t="shared" si="14"/>
        <v>8.4827428571428563</v>
      </c>
      <c r="M310" s="1" t="s">
        <v>136</v>
      </c>
      <c r="N310" s="87" t="s">
        <v>115</v>
      </c>
    </row>
    <row r="311" spans="2:14" ht="16.350000000000001" customHeight="1">
      <c r="B311" s="23"/>
      <c r="D311" s="140"/>
      <c r="G311" s="42" t="s">
        <v>32</v>
      </c>
      <c r="H311" s="3">
        <f>DASHBOARD!$D$49</f>
        <v>58.847999999999999</v>
      </c>
      <c r="I311" s="11">
        <f>SUM(I314:I316)*(1/10)</f>
        <v>1.7672380952380953</v>
      </c>
      <c r="J311" s="11">
        <v>1</v>
      </c>
      <c r="K311" s="11">
        <f>D267*E301*F309*I311*J311</f>
        <v>0</v>
      </c>
      <c r="L311" s="4">
        <f t="shared" si="14"/>
        <v>103.99842742857143</v>
      </c>
      <c r="M311" s="1" t="s">
        <v>137</v>
      </c>
      <c r="N311" s="87" t="s">
        <v>134</v>
      </c>
    </row>
    <row r="312" spans="2:14" ht="16.350000000000001" customHeight="1">
      <c r="B312" s="23"/>
      <c r="D312" s="140"/>
      <c r="G312" s="42" t="s">
        <v>33</v>
      </c>
      <c r="H312" s="3">
        <f>DASHBOARD!$D$50</f>
        <v>39</v>
      </c>
      <c r="I312" s="11">
        <f>SUM(I314:I316)*(1/33)</f>
        <v>0.53552669552669552</v>
      </c>
      <c r="J312" s="11">
        <v>1</v>
      </c>
      <c r="K312" s="11">
        <f>D267*E301*F309*I312*J312</f>
        <v>0</v>
      </c>
      <c r="L312" s="4">
        <f t="shared" si="14"/>
        <v>20.885541125541124</v>
      </c>
      <c r="M312" s="1" t="s">
        <v>138</v>
      </c>
      <c r="N312" s="87" t="s">
        <v>115</v>
      </c>
    </row>
    <row r="313" spans="2:14" ht="16.350000000000001" customHeight="1">
      <c r="B313" s="23"/>
      <c r="D313" s="140"/>
      <c r="G313" s="42" t="s">
        <v>34</v>
      </c>
      <c r="H313" s="3">
        <f>DASHBOARD!$D$51</f>
        <v>43.199999999999996</v>
      </c>
      <c r="I313" s="11">
        <f>SUM(I314:I316)*(1/100)</f>
        <v>0.17672380952380951</v>
      </c>
      <c r="J313" s="11">
        <v>1</v>
      </c>
      <c r="K313" s="11">
        <f>D267*E301*F309*I313*J313</f>
        <v>0</v>
      </c>
      <c r="L313" s="4">
        <f t="shared" si="14"/>
        <v>7.6344685714285703</v>
      </c>
      <c r="M313" s="1" t="s">
        <v>136</v>
      </c>
      <c r="N313" s="87" t="s">
        <v>135</v>
      </c>
    </row>
    <row r="314" spans="2:14" ht="16.350000000000001" customHeight="1">
      <c r="B314" s="23"/>
      <c r="D314" s="140"/>
      <c r="F314" s="2" t="s">
        <v>451</v>
      </c>
      <c r="G314" s="42" t="s">
        <v>27</v>
      </c>
      <c r="H314" s="3">
        <f>DASHBOARD!$D$39</f>
        <v>30</v>
      </c>
      <c r="I314" s="11">
        <f>5*(8/7)</f>
        <v>5.7142857142857135</v>
      </c>
      <c r="J314" s="11">
        <v>1</v>
      </c>
      <c r="K314" s="11">
        <f>D267*E301*F309*I314*J314</f>
        <v>0</v>
      </c>
      <c r="L314" s="4">
        <f t="shared" si="14"/>
        <v>171.42857142857142</v>
      </c>
      <c r="M314" s="1" t="s">
        <v>48</v>
      </c>
      <c r="N314" s="87" t="s">
        <v>115</v>
      </c>
    </row>
    <row r="315" spans="2:14" ht="16.350000000000001" customHeight="1">
      <c r="B315" s="23"/>
      <c r="D315" s="140"/>
      <c r="F315" s="2" t="s">
        <v>452</v>
      </c>
      <c r="G315" s="42" t="s">
        <v>27</v>
      </c>
      <c r="H315" s="3">
        <f>DASHBOARD!$D$39</f>
        <v>30</v>
      </c>
      <c r="I315" s="11">
        <f>2.13*(8/7)</f>
        <v>2.4342857142857142</v>
      </c>
      <c r="J315" s="11">
        <v>1</v>
      </c>
      <c r="K315" s="11">
        <f>D267*E301*F309*I315*J315</f>
        <v>0</v>
      </c>
      <c r="L315" s="4">
        <f t="shared" si="14"/>
        <v>73.028571428571425</v>
      </c>
      <c r="M315" s="1" t="s">
        <v>49</v>
      </c>
      <c r="N315" s="87" t="s">
        <v>115</v>
      </c>
    </row>
    <row r="316" spans="2:14" ht="16.350000000000001" customHeight="1">
      <c r="B316" s="23"/>
      <c r="D316" s="140"/>
      <c r="F316" s="2" t="s">
        <v>453</v>
      </c>
      <c r="G316" s="42" t="s">
        <v>27</v>
      </c>
      <c r="H316" s="3">
        <f>DASHBOARD!$D$39</f>
        <v>30</v>
      </c>
      <c r="I316" s="11">
        <f>(DASHBOARD!$D$153*100)/60*(8/7)</f>
        <v>9.5238095238095237</v>
      </c>
      <c r="J316" s="11">
        <v>1</v>
      </c>
      <c r="K316" s="11">
        <f>D267*E301*F309*I316*J316</f>
        <v>0</v>
      </c>
      <c r="L316" s="4">
        <f t="shared" si="14"/>
        <v>285.71428571428572</v>
      </c>
      <c r="M316" s="27" t="s">
        <v>171</v>
      </c>
      <c r="N316" s="87" t="s">
        <v>115</v>
      </c>
    </row>
    <row r="317" spans="2:14" ht="16.350000000000001" customHeight="1">
      <c r="B317" s="23"/>
      <c r="D317" s="140"/>
      <c r="G317" s="1" t="s">
        <v>41</v>
      </c>
      <c r="H317" s="3">
        <f>DASHBOARD!$D$57</f>
        <v>3.95</v>
      </c>
      <c r="I317" s="11">
        <v>1</v>
      </c>
      <c r="J317" s="55">
        <f>2*SUM(I314:I316)/8</f>
        <v>4.4180952380952379</v>
      </c>
      <c r="K317" s="55"/>
      <c r="L317" s="4">
        <f t="shared" si="14"/>
        <v>17.451476190476189</v>
      </c>
      <c r="M317" s="1" t="s">
        <v>139</v>
      </c>
      <c r="N317" s="87" t="s">
        <v>117</v>
      </c>
    </row>
    <row r="318" spans="2:14" ht="16.350000000000001" customHeight="1">
      <c r="B318" s="23"/>
      <c r="D318" s="140"/>
      <c r="G318" s="1" t="s">
        <v>9</v>
      </c>
      <c r="H318" s="3">
        <f>DASHBOARD!$D$58</f>
        <v>13.95</v>
      </c>
      <c r="I318" s="11">
        <v>1</v>
      </c>
      <c r="J318" s="55">
        <f>2*SUM(I314:I316)/8</f>
        <v>4.4180952380952379</v>
      </c>
      <c r="K318" s="55"/>
      <c r="L318" s="4">
        <f t="shared" si="14"/>
        <v>61.632428571428562</v>
      </c>
      <c r="M318" s="1" t="s">
        <v>139</v>
      </c>
      <c r="N318" s="87" t="s">
        <v>118</v>
      </c>
    </row>
    <row r="319" spans="2:14" ht="16.350000000000001" customHeight="1">
      <c r="B319" s="23"/>
      <c r="D319" s="140"/>
      <c r="G319" s="1" t="s">
        <v>16</v>
      </c>
      <c r="H319" s="3">
        <f>DASHBOARD!$D$59</f>
        <v>0.23960000000000001</v>
      </c>
      <c r="I319" s="11">
        <v>1</v>
      </c>
      <c r="J319" s="55">
        <f>ROUNDUP(I309/8,0)+(ROUNDUP(I314/8,0)+ROUNDUP(I315/8,0)+ROUNDUP(I316/8,0))*(100/DASHBOARD!$D$121)</f>
        <v>9.5106382978723403</v>
      </c>
      <c r="K319" s="55"/>
      <c r="L319" s="4">
        <f t="shared" si="14"/>
        <v>2.2787489361702127</v>
      </c>
      <c r="M319" s="1" t="s">
        <v>140</v>
      </c>
      <c r="N319" s="87" t="s">
        <v>119</v>
      </c>
    </row>
    <row r="320" spans="2:14" ht="16.350000000000001" customHeight="1">
      <c r="B320" s="23"/>
      <c r="D320" s="140"/>
      <c r="G320" s="1" t="s">
        <v>10</v>
      </c>
      <c r="H320" s="3">
        <f>DASHBOARD!$D$60</f>
        <v>1.7004999999999999</v>
      </c>
      <c r="I320" s="11">
        <v>1</v>
      </c>
      <c r="J320" s="55">
        <f>2*SUM(I314:I316)/8</f>
        <v>4.4180952380952379</v>
      </c>
      <c r="K320" s="55"/>
      <c r="L320" s="4">
        <f t="shared" si="14"/>
        <v>7.5129709523809511</v>
      </c>
      <c r="M320" s="1" t="s">
        <v>139</v>
      </c>
      <c r="N320" s="87" t="s">
        <v>119</v>
      </c>
    </row>
    <row r="321" spans="2:14" ht="16.350000000000001" customHeight="1">
      <c r="B321" s="23"/>
      <c r="D321" s="140"/>
      <c r="G321" s="1" t="s">
        <v>28</v>
      </c>
      <c r="H321" s="3">
        <f>DASHBOARD!$D$75</f>
        <v>12.16</v>
      </c>
      <c r="I321" s="11">
        <v>1</v>
      </c>
      <c r="J321" s="11">
        <v>100</v>
      </c>
      <c r="K321" s="11"/>
      <c r="L321" s="4">
        <f t="shared" si="14"/>
        <v>1216</v>
      </c>
      <c r="N321" s="87" t="s">
        <v>141</v>
      </c>
    </row>
    <row r="322" spans="2:14" ht="16.350000000000001" customHeight="1">
      <c r="B322" s="23"/>
      <c r="D322" s="140"/>
      <c r="G322" s="1" t="s">
        <v>29</v>
      </c>
      <c r="H322" s="3">
        <f>DASHBOARD!$D$76</f>
        <v>0.72</v>
      </c>
      <c r="I322" s="11">
        <v>1</v>
      </c>
      <c r="J322" s="11">
        <v>100</v>
      </c>
      <c r="K322" s="11"/>
      <c r="L322" s="4">
        <f t="shared" si="14"/>
        <v>72</v>
      </c>
      <c r="N322" s="87" t="s">
        <v>142</v>
      </c>
    </row>
    <row r="323" spans="2:14" ht="21" customHeight="1">
      <c r="B323" s="23"/>
      <c r="C323" s="26">
        <f>C267</f>
        <v>719993</v>
      </c>
      <c r="D323" s="244">
        <f>DASHBOARD!$D$112*DASHBOARD!$D$139</f>
        <v>0</v>
      </c>
      <c r="E323" s="21" t="s">
        <v>413</v>
      </c>
      <c r="F323" s="2">
        <v>1</v>
      </c>
      <c r="G323" s="42" t="s">
        <v>14</v>
      </c>
      <c r="H323" s="3">
        <f>DASHBOARD!$D$35</f>
        <v>24.612000000000002</v>
      </c>
      <c r="I323" s="11">
        <f>DASHBOARD!$D$150*(100/60)*(8/7)</f>
        <v>7.6190476190476186</v>
      </c>
      <c r="J323" s="11">
        <v>1</v>
      </c>
      <c r="K323" s="11">
        <f>D323*I323*J323</f>
        <v>0</v>
      </c>
      <c r="L323" s="4">
        <f>H323*I323*J323*D323</f>
        <v>0</v>
      </c>
      <c r="M323" s="1" t="s">
        <v>50</v>
      </c>
      <c r="N323" s="87" t="s">
        <v>133</v>
      </c>
    </row>
    <row r="324" spans="2:14">
      <c r="B324" s="23"/>
      <c r="D324" s="193" t="s">
        <v>380</v>
      </c>
      <c r="F324" s="133" t="s">
        <v>406</v>
      </c>
      <c r="G324" s="42" t="s">
        <v>31</v>
      </c>
      <c r="H324" s="3">
        <f>DASHBOARD!$D$44</f>
        <v>48</v>
      </c>
      <c r="I324" s="11">
        <f>SUM(I328:I330)*(1/100)</f>
        <v>1.8285714285714287E-2</v>
      </c>
      <c r="J324" s="11">
        <v>1</v>
      </c>
      <c r="K324" s="11">
        <f>D323*I324*J324</f>
        <v>0</v>
      </c>
      <c r="L324" s="4">
        <f>H324*I324*J324*D323</f>
        <v>0</v>
      </c>
      <c r="M324" s="1" t="s">
        <v>136</v>
      </c>
      <c r="N324" s="87" t="s">
        <v>115</v>
      </c>
    </row>
    <row r="325" spans="2:14">
      <c r="B325" s="23"/>
      <c r="D325" s="244"/>
      <c r="F325" s="133" t="s">
        <v>403</v>
      </c>
      <c r="G325" s="42" t="s">
        <v>32</v>
      </c>
      <c r="H325" s="3">
        <f>DASHBOARD!$D$49</f>
        <v>58.847999999999999</v>
      </c>
      <c r="I325" s="11">
        <f>SUM(I328:I330)*(1/10)</f>
        <v>0.18285714285714288</v>
      </c>
      <c r="J325" s="11">
        <v>1</v>
      </c>
      <c r="K325" s="11">
        <f>D323*I325*J325</f>
        <v>0</v>
      </c>
      <c r="L325" s="4">
        <f>H325*I325*J325*D323</f>
        <v>0</v>
      </c>
      <c r="M325" s="1" t="s">
        <v>137</v>
      </c>
      <c r="N325" s="87" t="s">
        <v>134</v>
      </c>
    </row>
    <row r="326" spans="2:14">
      <c r="B326" s="23"/>
      <c r="D326" s="244"/>
      <c r="F326" s="133" t="s">
        <v>404</v>
      </c>
      <c r="G326" s="42" t="s">
        <v>33</v>
      </c>
      <c r="H326" s="3">
        <f>DASHBOARD!$D$50</f>
        <v>39</v>
      </c>
      <c r="I326" s="11">
        <f>SUM(I328:I330)*(1/33)</f>
        <v>5.5411255411255418E-2</v>
      </c>
      <c r="J326" s="11">
        <v>1</v>
      </c>
      <c r="K326" s="11">
        <f>D323*I326*J326</f>
        <v>0</v>
      </c>
      <c r="L326" s="4">
        <f>H326*I326*J326*D323</f>
        <v>0</v>
      </c>
      <c r="M326" s="1" t="s">
        <v>138</v>
      </c>
      <c r="N326" s="87" t="s">
        <v>115</v>
      </c>
    </row>
    <row r="327" spans="2:14">
      <c r="B327" s="23"/>
      <c r="D327" s="244"/>
      <c r="F327" s="133" t="s">
        <v>405</v>
      </c>
      <c r="G327" s="42" t="s">
        <v>34</v>
      </c>
      <c r="H327" s="3">
        <f>DASHBOARD!$D$51</f>
        <v>43.199999999999996</v>
      </c>
      <c r="I327" s="11">
        <f>SUM(I328:I330)*(1/100)</f>
        <v>1.8285714285714287E-2</v>
      </c>
      <c r="J327" s="11">
        <v>1</v>
      </c>
      <c r="K327" s="11">
        <f>D323*I327*J327</f>
        <v>0</v>
      </c>
      <c r="L327" s="4">
        <f>H327*I327*J327*D323</f>
        <v>0</v>
      </c>
      <c r="M327" s="1" t="s">
        <v>136</v>
      </c>
      <c r="N327" s="87" t="s">
        <v>135</v>
      </c>
    </row>
    <row r="328" spans="2:14">
      <c r="B328" s="23"/>
      <c r="D328" s="244"/>
      <c r="F328" s="2" t="s">
        <v>451</v>
      </c>
      <c r="G328" s="42" t="s">
        <v>27</v>
      </c>
      <c r="H328" s="3">
        <f>DASHBOARD!$D$39</f>
        <v>30</v>
      </c>
      <c r="I328" s="11">
        <f>DASHBOARD!$D$117*(100/60)*(8/7)</f>
        <v>0.38095238095238099</v>
      </c>
      <c r="J328" s="11">
        <v>1</v>
      </c>
      <c r="K328" s="11">
        <f>D323*I328*J328</f>
        <v>0</v>
      </c>
      <c r="L328" s="4">
        <f>H328*I328*J328*D323</f>
        <v>0</v>
      </c>
      <c r="M328" s="1" t="s">
        <v>461</v>
      </c>
      <c r="N328" s="88" t="s">
        <v>463</v>
      </c>
    </row>
    <row r="329" spans="2:14" ht="15" customHeight="1">
      <c r="B329" s="23"/>
      <c r="D329" s="244"/>
      <c r="F329" s="2" t="s">
        <v>405</v>
      </c>
      <c r="G329" s="42" t="s">
        <v>27</v>
      </c>
      <c r="H329" s="3">
        <f>DASHBOARD!$D$39</f>
        <v>30</v>
      </c>
      <c r="I329" s="11">
        <f>DASHBOARD!$D$118*(100/60)*(8/7)</f>
        <v>0.59523809523809523</v>
      </c>
      <c r="J329" s="11">
        <v>1</v>
      </c>
      <c r="K329" s="11">
        <f>D323*I329*J329</f>
        <v>0</v>
      </c>
      <c r="L329" s="4">
        <f>H329*I329*J329*D323</f>
        <v>0</v>
      </c>
      <c r="M329" s="72" t="s">
        <v>462</v>
      </c>
      <c r="N329" s="88" t="s">
        <v>464</v>
      </c>
    </row>
    <row r="330" spans="2:14">
      <c r="B330" s="23"/>
      <c r="D330" s="244"/>
      <c r="F330" s="2" t="s">
        <v>453</v>
      </c>
      <c r="G330" s="66" t="s">
        <v>27</v>
      </c>
      <c r="H330" s="3">
        <f>DASHBOARD!$D$39</f>
        <v>30</v>
      </c>
      <c r="I330" s="11">
        <f>DASHBOARD!$D$119*(100/60)*(8/7)</f>
        <v>0.85238095238095235</v>
      </c>
      <c r="J330" s="11">
        <v>1</v>
      </c>
      <c r="K330" s="11">
        <f>D323*I330*J330</f>
        <v>0</v>
      </c>
      <c r="L330" s="4">
        <f>H330*I330*J330*D323</f>
        <v>0</v>
      </c>
      <c r="M330" s="160" t="s">
        <v>402</v>
      </c>
      <c r="N330" s="87" t="s">
        <v>115</v>
      </c>
    </row>
    <row r="331" spans="2:14">
      <c r="B331" s="23"/>
      <c r="D331" s="244"/>
      <c r="G331" s="1" t="s">
        <v>41</v>
      </c>
      <c r="H331" s="3">
        <f>DASHBOARD!$D$57</f>
        <v>3.95</v>
      </c>
      <c r="I331" s="11">
        <v>1</v>
      </c>
      <c r="J331" s="55">
        <f>2*SUM(I328:I330)/8</f>
        <v>0.45714285714285718</v>
      </c>
      <c r="K331" s="55"/>
      <c r="L331" s="4">
        <f>H331*I331*J331*D323</f>
        <v>0</v>
      </c>
      <c r="M331" s="1" t="s">
        <v>139</v>
      </c>
      <c r="N331" s="87" t="s">
        <v>117</v>
      </c>
    </row>
    <row r="332" spans="2:14">
      <c r="B332" s="23"/>
      <c r="D332" s="244"/>
      <c r="G332" s="1" t="s">
        <v>9</v>
      </c>
      <c r="H332" s="3">
        <f>DASHBOARD!$D$58</f>
        <v>13.95</v>
      </c>
      <c r="I332" s="11">
        <v>1</v>
      </c>
      <c r="J332" s="55">
        <f>2*SUM(I328:I330)/8</f>
        <v>0.45714285714285718</v>
      </c>
      <c r="K332" s="55"/>
      <c r="L332" s="4">
        <f>H332*I332*J332*D323</f>
        <v>0</v>
      </c>
      <c r="M332" s="1" t="s">
        <v>139</v>
      </c>
      <c r="N332" s="87" t="s">
        <v>118</v>
      </c>
    </row>
    <row r="333" spans="2:14">
      <c r="B333" s="23"/>
      <c r="D333" s="244"/>
      <c r="G333" s="1" t="s">
        <v>16</v>
      </c>
      <c r="H333" s="3">
        <f>DASHBOARD!$D$59</f>
        <v>0.23960000000000001</v>
      </c>
      <c r="I333" s="11">
        <v>1</v>
      </c>
      <c r="J333" s="55">
        <f>ROUNDUP(I323/8,0)+(ROUNDUP(I328/8,0)+ROUNDUP(I329/8,0)+ROUNDUP(I330/8,0))*(100/DASHBOARD!$D$121)</f>
        <v>7.3829787234042552</v>
      </c>
      <c r="K333" s="55"/>
      <c r="L333" s="4">
        <f>H333*I333*J333*D323</f>
        <v>0</v>
      </c>
      <c r="M333" s="1" t="s">
        <v>140</v>
      </c>
      <c r="N333" s="87" t="s">
        <v>119</v>
      </c>
    </row>
    <row r="334" spans="2:14">
      <c r="B334" s="23"/>
      <c r="D334" s="244"/>
      <c r="G334" s="1" t="s">
        <v>10</v>
      </c>
      <c r="H334" s="3">
        <f>DASHBOARD!$D$60</f>
        <v>1.7004999999999999</v>
      </c>
      <c r="I334" s="11">
        <v>1</v>
      </c>
      <c r="J334" s="55">
        <f>2*SUM(I328:I330)/8</f>
        <v>0.45714285714285718</v>
      </c>
      <c r="K334" s="55"/>
      <c r="L334" s="4">
        <f>H334*I334*J334*D323</f>
        <v>0</v>
      </c>
      <c r="M334" s="1" t="s">
        <v>139</v>
      </c>
      <c r="N334" s="87" t="s">
        <v>119</v>
      </c>
    </row>
    <row r="335" spans="2:14">
      <c r="B335" s="23"/>
      <c r="D335" s="244"/>
      <c r="G335" s="1" t="s">
        <v>414</v>
      </c>
      <c r="H335" s="3">
        <f>DASHBOARD!$D$74</f>
        <v>20</v>
      </c>
      <c r="I335" s="11">
        <v>1</v>
      </c>
      <c r="J335" s="11">
        <v>100</v>
      </c>
      <c r="K335" s="11"/>
      <c r="L335" s="4">
        <f>H335*I335*J335*D323</f>
        <v>0</v>
      </c>
      <c r="M335" s="1" t="s">
        <v>415</v>
      </c>
      <c r="N335" s="87" t="s">
        <v>141</v>
      </c>
    </row>
    <row r="336" spans="2:14" ht="21" customHeight="1" thickBot="1">
      <c r="B336" s="9" t="s">
        <v>7</v>
      </c>
      <c r="C336" s="10"/>
      <c r="D336" s="14"/>
      <c r="E336" s="20"/>
      <c r="F336" s="14"/>
      <c r="G336" s="10"/>
      <c r="H336" s="549" t="s">
        <v>81</v>
      </c>
      <c r="I336" s="549"/>
      <c r="J336" s="549"/>
      <c r="K336" s="243"/>
      <c r="L336" s="70">
        <f>(D239*F239*SUM(L239:L252))+(D239*F253*SUM(L253:L266))+(D267*E273*F267*SUM(L267:L280))+(D267*E273*F281*SUM(L281:L294))+(D267*E301*F295*SUM(L295:L308))+(D267*E301*F309*SUM(L309:L322))+SUM(L323:L335)</f>
        <v>1990.1008944661157</v>
      </c>
      <c r="M336" s="69" t="str">
        <f>"Per Person Cost is "&amp;ROUND(L336/100,2)&amp;" and the cost per "&amp;$C$4&amp;" people is "&amp;ROUND(L336/100*$C$4,2)</f>
        <v>Per Person Cost is 19.9 and the cost per 719993 people is 14328587.13</v>
      </c>
    </row>
    <row r="337" spans="2:14" ht="22.35" customHeight="1">
      <c r="B337" s="24" t="s">
        <v>26</v>
      </c>
      <c r="C337" s="26">
        <f>C4</f>
        <v>719993</v>
      </c>
      <c r="D337" s="2">
        <f>1*DASHBOARD!$D$139</f>
        <v>1</v>
      </c>
      <c r="E337" s="21">
        <v>1</v>
      </c>
      <c r="F337" s="2">
        <f>1-C8</f>
        <v>0.99973999999999996</v>
      </c>
      <c r="G337" s="42" t="s">
        <v>14</v>
      </c>
      <c r="H337" s="3">
        <f>DASHBOARD!D35</f>
        <v>24.612000000000002</v>
      </c>
      <c r="I337" s="32">
        <f>1.67*(8/7)*DASHBOARD!$D$131</f>
        <v>1.9085714285714284</v>
      </c>
      <c r="J337" s="1">
        <v>1</v>
      </c>
      <c r="K337" s="1">
        <f>F337*I337*J337</f>
        <v>1.9080751999999996</v>
      </c>
      <c r="L337" s="4">
        <f>H337*I337*J337</f>
        <v>46.973759999999999</v>
      </c>
      <c r="M337" s="1" t="s">
        <v>79</v>
      </c>
      <c r="N337" s="87" t="s">
        <v>133</v>
      </c>
    </row>
    <row r="338" spans="2:14" ht="22.35" customHeight="1">
      <c r="B338" s="24"/>
      <c r="C338" s="26"/>
      <c r="F338" s="2" t="s">
        <v>457</v>
      </c>
      <c r="G338" s="42" t="s">
        <v>17</v>
      </c>
      <c r="H338" s="3">
        <f>DASHBOARD!D36</f>
        <v>45.12</v>
      </c>
      <c r="I338" s="32">
        <f>I337/5</f>
        <v>0.38171428571428567</v>
      </c>
      <c r="J338" s="1">
        <v>1</v>
      </c>
      <c r="K338" s="1">
        <f>F337*I338*J338</f>
        <v>0.38161503999999996</v>
      </c>
      <c r="L338" s="4">
        <f>H338*I338*J338</f>
        <v>17.222948571428567</v>
      </c>
      <c r="N338" s="87" t="s">
        <v>112</v>
      </c>
    </row>
    <row r="339" spans="2:14">
      <c r="B339" s="24"/>
      <c r="F339" s="2">
        <f>C8</f>
        <v>2.5999999999999998E-4</v>
      </c>
      <c r="G339" s="42" t="s">
        <v>17</v>
      </c>
      <c r="H339" s="3">
        <f>DASHBOARD!D36</f>
        <v>45.12</v>
      </c>
      <c r="I339" s="32">
        <v>8</v>
      </c>
      <c r="J339" s="1">
        <f>4.16*(8/7)</f>
        <v>4.7542857142857144</v>
      </c>
      <c r="K339" s="1">
        <f>F339*I339*J339</f>
        <v>9.8889142857142859E-3</v>
      </c>
      <c r="L339" s="4">
        <f>H339*I339*J339</f>
        <v>1716.1069714285713</v>
      </c>
      <c r="M339" s="1" t="s">
        <v>96</v>
      </c>
      <c r="N339" s="87" t="s">
        <v>112</v>
      </c>
    </row>
    <row r="340" spans="2:14" ht="16.350000000000001" customHeight="1" thickBot="1">
      <c r="B340" s="9" t="s">
        <v>7</v>
      </c>
      <c r="C340" s="10"/>
      <c r="D340" s="14"/>
      <c r="E340" s="20"/>
      <c r="F340" s="14"/>
      <c r="G340" s="10"/>
      <c r="H340" s="549" t="s">
        <v>81</v>
      </c>
      <c r="I340" s="549"/>
      <c r="J340" s="549"/>
      <c r="K340" s="243"/>
      <c r="L340" s="70">
        <f>(D337*F337*SUM(L337:L338))+(D337*F339*L339)</f>
        <v>64.626205239771409</v>
      </c>
      <c r="M340" s="69" t="str">
        <f>"Per Person Cost is "&amp;ROUND(L340/100,2)&amp;" and the cost per "&amp;$C$4&amp;" people is "&amp;ROUND(L340/100*$C$4,2)</f>
        <v>Per Person Cost is 0.65 and the cost per 719993 people is 465304.15</v>
      </c>
    </row>
    <row r="341" spans="2:14">
      <c r="B341" s="25" t="s">
        <v>173</v>
      </c>
      <c r="C341" s="26">
        <f>C4</f>
        <v>719993</v>
      </c>
      <c r="D341" s="92">
        <f>(C5/C4)*DASHBOARD!$D$139</f>
        <v>1</v>
      </c>
      <c r="E341" s="21">
        <v>1</v>
      </c>
      <c r="F341" s="2">
        <f>1-C8</f>
        <v>0.99973999999999996</v>
      </c>
      <c r="G341" s="1" t="s">
        <v>30</v>
      </c>
      <c r="H341" s="3">
        <v>0</v>
      </c>
      <c r="I341" s="32">
        <v>0</v>
      </c>
      <c r="J341" s="1">
        <v>0</v>
      </c>
      <c r="L341" s="4">
        <f>H341*I341*J341</f>
        <v>0</v>
      </c>
    </row>
    <row r="342" spans="2:14" ht="22.35" customHeight="1">
      <c r="B342" s="25"/>
      <c r="F342" s="2">
        <f>C8</f>
        <v>2.5999999999999998E-4</v>
      </c>
      <c r="G342" s="42" t="s">
        <v>17</v>
      </c>
      <c r="H342" s="3">
        <f>DASHBOARD!$D$36</f>
        <v>45.12</v>
      </c>
      <c r="I342" s="32">
        <f>8*DASHBOARD!$D$133</f>
        <v>8</v>
      </c>
      <c r="J342" s="1">
        <v>12.5</v>
      </c>
      <c r="K342" s="1">
        <f>$D$341*$F$342*I342*J342</f>
        <v>2.5999999999999999E-2</v>
      </c>
      <c r="L342" s="4">
        <f>H342*I342*J342</f>
        <v>4512</v>
      </c>
      <c r="M342" s="1" t="s">
        <v>298</v>
      </c>
      <c r="N342" s="87" t="s">
        <v>112</v>
      </c>
    </row>
    <row r="343" spans="2:14" ht="33" customHeight="1">
      <c r="B343" s="25"/>
      <c r="D343" s="137">
        <v>0</v>
      </c>
      <c r="G343" s="42" t="s">
        <v>14</v>
      </c>
      <c r="H343" s="3">
        <f>DASHBOARD!$D$35</f>
        <v>24.612000000000002</v>
      </c>
      <c r="I343" s="32">
        <f>8*DASHBOARD!$D$133</f>
        <v>8</v>
      </c>
      <c r="J343" s="1">
        <f>7.14*(DASHBOARD!$D$108+DASHBOARD!$D$109)/5</f>
        <v>22.847999999999999</v>
      </c>
      <c r="K343" s="1">
        <f t="shared" ref="K343:K348" si="15">$D$341*$F$342*I343*J343</f>
        <v>4.7523839999999991E-2</v>
      </c>
      <c r="L343" s="4">
        <f>H343*I343*J343</f>
        <v>4498.6798079999999</v>
      </c>
      <c r="M343" s="1" t="s">
        <v>309</v>
      </c>
      <c r="N343" s="87" t="s">
        <v>133</v>
      </c>
    </row>
    <row r="344" spans="2:14" ht="33" customHeight="1">
      <c r="B344" s="25" t="s">
        <v>205</v>
      </c>
      <c r="D344" s="254" t="s">
        <v>496</v>
      </c>
      <c r="F344" s="2" t="s">
        <v>454</v>
      </c>
      <c r="G344" s="132" t="s">
        <v>473</v>
      </c>
      <c r="H344" s="3">
        <f>DASHBOARD!$D$52</f>
        <v>48</v>
      </c>
      <c r="I344" s="32">
        <v>8</v>
      </c>
      <c r="J344" s="11">
        <f>SUM(J342:J343)/5.5</f>
        <v>6.4269090909090911</v>
      </c>
      <c r="K344" s="1">
        <f t="shared" si="15"/>
        <v>1.3367970909090908E-2</v>
      </c>
      <c r="L344" s="4">
        <f>H344*I344*J344</f>
        <v>2467.9330909090909</v>
      </c>
      <c r="M344" s="1" t="s">
        <v>300</v>
      </c>
      <c r="N344" s="87" t="s">
        <v>112</v>
      </c>
    </row>
    <row r="345" spans="2:14" ht="33" customHeight="1">
      <c r="B345" s="25"/>
      <c r="F345" s="2" t="s">
        <v>455</v>
      </c>
      <c r="G345" s="132" t="s">
        <v>180</v>
      </c>
      <c r="H345" s="3">
        <f>DASHBOARD!$D$53</f>
        <v>121.78799999999998</v>
      </c>
      <c r="I345" s="32">
        <v>8</v>
      </c>
      <c r="J345" s="11">
        <f>SUM(J342:J343)/27.5</f>
        <v>1.2853818181818182</v>
      </c>
      <c r="K345" s="1">
        <f t="shared" si="15"/>
        <v>2.6735941818181817E-3</v>
      </c>
      <c r="L345" s="4">
        <f t="shared" ref="L345:L348" si="16">H345*I345*J345</f>
        <v>1252.352646981818</v>
      </c>
      <c r="M345" s="1" t="s">
        <v>308</v>
      </c>
      <c r="N345" s="87"/>
    </row>
    <row r="346" spans="2:14" ht="33" customHeight="1">
      <c r="B346" s="25"/>
      <c r="F346" s="2" t="s">
        <v>455</v>
      </c>
      <c r="G346" s="132" t="s">
        <v>40</v>
      </c>
      <c r="H346" s="3">
        <f>DASHBOARD!$D$45</f>
        <v>54.804000000000002</v>
      </c>
      <c r="I346" s="1">
        <v>8</v>
      </c>
      <c r="J346" s="11">
        <f>SUM(J342:J343)/27.5</f>
        <v>1.2853818181818182</v>
      </c>
      <c r="K346" s="1">
        <f t="shared" si="15"/>
        <v>2.6735941818181817E-3</v>
      </c>
      <c r="L346" s="4">
        <f t="shared" si="16"/>
        <v>563.55252130909093</v>
      </c>
      <c r="M346" s="1" t="s">
        <v>302</v>
      </c>
      <c r="N346" s="87"/>
    </row>
    <row r="347" spans="2:14" ht="33" customHeight="1">
      <c r="B347" s="25"/>
      <c r="G347" s="132" t="s">
        <v>353</v>
      </c>
      <c r="H347" s="3">
        <f>DASHBOARD!$D$54</f>
        <v>60</v>
      </c>
      <c r="I347" s="1">
        <v>8</v>
      </c>
      <c r="J347" s="11">
        <f>SUM(J342:J343)/9.167*DASHBOARD!$D$130</f>
        <v>3.85600523617323</v>
      </c>
      <c r="K347" s="1">
        <f t="shared" si="15"/>
        <v>8.0204908912403176E-3</v>
      </c>
      <c r="L347" s="4">
        <f t="shared" si="16"/>
        <v>1850.8825133631503</v>
      </c>
      <c r="M347" s="1" t="s">
        <v>305</v>
      </c>
      <c r="N347" s="87"/>
    </row>
    <row r="348" spans="2:14" ht="33" customHeight="1">
      <c r="B348" s="25"/>
      <c r="F348" s="2" t="s">
        <v>466</v>
      </c>
      <c r="G348" s="42" t="s">
        <v>14</v>
      </c>
      <c r="H348" s="3">
        <f>DASHBOARD!$D$35</f>
        <v>24.612000000000002</v>
      </c>
      <c r="I348" s="32">
        <v>8</v>
      </c>
      <c r="J348" s="11">
        <f>SUM(J342:J343)/2.2*DASHBOARD!$D$129</f>
        <v>16.067272727272726</v>
      </c>
      <c r="K348" s="1">
        <f t="shared" si="15"/>
        <v>3.3419927272727266E-2</v>
      </c>
      <c r="L348" s="4">
        <f t="shared" si="16"/>
        <v>3163.5817309090912</v>
      </c>
      <c r="M348" s="1" t="s">
        <v>310</v>
      </c>
      <c r="N348" s="87"/>
    </row>
    <row r="349" spans="2:14" ht="33" customHeight="1">
      <c r="B349" s="25" t="s">
        <v>206</v>
      </c>
      <c r="G349" s="42" t="s">
        <v>109</v>
      </c>
      <c r="L349" s="4">
        <f>(L340+L336+L238+L223)*(C6+2)*D343</f>
        <v>0</v>
      </c>
      <c r="M349" s="1" t="s">
        <v>108</v>
      </c>
      <c r="N349" s="3"/>
    </row>
    <row r="350" spans="2:14" ht="47.25">
      <c r="B350" s="25"/>
      <c r="G350" s="42" t="s">
        <v>204</v>
      </c>
      <c r="L350" s="4">
        <f>'Expanded Contact Investigaton'!L285*C6*0</f>
        <v>0</v>
      </c>
      <c r="M350" s="1" t="s">
        <v>207</v>
      </c>
      <c r="N350" s="3"/>
    </row>
    <row r="351" spans="2:14">
      <c r="B351" s="25"/>
      <c r="D351" s="92">
        <f>IF(DASHBOARD!$D$139=1,(1-D341),0)</f>
        <v>0</v>
      </c>
      <c r="E351" s="21">
        <v>2</v>
      </c>
      <c r="F351" s="2">
        <f>1-C8</f>
        <v>0.99973999999999996</v>
      </c>
      <c r="G351" s="1" t="s">
        <v>30</v>
      </c>
      <c r="H351" s="3">
        <v>0</v>
      </c>
      <c r="I351" s="32">
        <v>0</v>
      </c>
      <c r="J351" s="1">
        <v>0</v>
      </c>
      <c r="L351" s="4">
        <f>H351*I351*J351</f>
        <v>0</v>
      </c>
    </row>
    <row r="352" spans="2:14" ht="47.25">
      <c r="B352" s="25"/>
      <c r="F352" s="2">
        <f>C8</f>
        <v>2.5999999999999998E-4</v>
      </c>
      <c r="G352" s="42" t="s">
        <v>17</v>
      </c>
      <c r="H352" s="3">
        <f>DASHBOARD!$D$36</f>
        <v>45.12</v>
      </c>
      <c r="I352" s="32">
        <v>8</v>
      </c>
      <c r="J352" s="1">
        <v>12.5</v>
      </c>
      <c r="K352" s="1">
        <f>$D$351*$F$352*I352*J352</f>
        <v>0</v>
      </c>
      <c r="L352" s="4">
        <f>H352*I352*J352</f>
        <v>4512</v>
      </c>
      <c r="M352" s="1" t="s">
        <v>298</v>
      </c>
      <c r="N352" s="87" t="s">
        <v>112</v>
      </c>
    </row>
    <row r="353" spans="2:14" ht="78.75">
      <c r="B353" s="25"/>
      <c r="D353" s="137">
        <v>0</v>
      </c>
      <c r="G353" s="42" t="s">
        <v>14</v>
      </c>
      <c r="H353" s="3">
        <f>DASHBOARD!$D$35</f>
        <v>24.612000000000002</v>
      </c>
      <c r="I353" s="32">
        <v>8</v>
      </c>
      <c r="J353" s="1">
        <f>7.14*(DASHBOARD!$D$108+DASHBOARD!$D$109)/5</f>
        <v>22.847999999999999</v>
      </c>
      <c r="K353" s="1">
        <f t="shared" ref="K353:K358" si="17">$D$351*$F$352*I353*J353</f>
        <v>0</v>
      </c>
      <c r="L353" s="4">
        <f>H353*I353*J353</f>
        <v>4498.6798079999999</v>
      </c>
      <c r="M353" s="1" t="s">
        <v>309</v>
      </c>
      <c r="N353" s="87" t="s">
        <v>133</v>
      </c>
    </row>
    <row r="354" spans="2:14" ht="31.5">
      <c r="B354" s="25"/>
      <c r="D354" s="254" t="s">
        <v>496</v>
      </c>
      <c r="F354" s="2" t="s">
        <v>454</v>
      </c>
      <c r="G354" s="132" t="s">
        <v>473</v>
      </c>
      <c r="H354" s="3">
        <f>DASHBOARD!$D$52</f>
        <v>48</v>
      </c>
      <c r="I354" s="32">
        <v>8</v>
      </c>
      <c r="J354" s="11">
        <f>SUM(J352:J353)/5.5</f>
        <v>6.4269090909090911</v>
      </c>
      <c r="K354" s="1">
        <f t="shared" si="17"/>
        <v>0</v>
      </c>
      <c r="L354" s="4">
        <f>H354*I354*J354</f>
        <v>2467.9330909090909</v>
      </c>
      <c r="M354" s="1" t="s">
        <v>300</v>
      </c>
      <c r="N354" s="87" t="s">
        <v>112</v>
      </c>
    </row>
    <row r="355" spans="2:14">
      <c r="B355" s="25"/>
      <c r="F355" s="2" t="s">
        <v>455</v>
      </c>
      <c r="G355" s="132" t="s">
        <v>180</v>
      </c>
      <c r="H355" s="3">
        <f>DASHBOARD!$D$53</f>
        <v>121.78799999999998</v>
      </c>
      <c r="I355" s="32">
        <v>8</v>
      </c>
      <c r="J355" s="11">
        <f>SUM(J352:J353)/27.5</f>
        <v>1.2853818181818182</v>
      </c>
      <c r="K355" s="1">
        <f t="shared" si="17"/>
        <v>0</v>
      </c>
      <c r="L355" s="4">
        <f t="shared" ref="L355:L358" si="18">H355*I355*J355</f>
        <v>1252.352646981818</v>
      </c>
      <c r="M355" s="1" t="s">
        <v>308</v>
      </c>
      <c r="N355" s="87"/>
    </row>
    <row r="356" spans="2:14">
      <c r="B356" s="25"/>
      <c r="F356" s="2" t="s">
        <v>455</v>
      </c>
      <c r="G356" s="132" t="s">
        <v>40</v>
      </c>
      <c r="H356" s="3">
        <f>DASHBOARD!$D$45</f>
        <v>54.804000000000002</v>
      </c>
      <c r="I356" s="1">
        <v>8</v>
      </c>
      <c r="J356" s="11">
        <f>SUM(J352:J353)/27.5</f>
        <v>1.2853818181818182</v>
      </c>
      <c r="K356" s="1">
        <f t="shared" si="17"/>
        <v>0</v>
      </c>
      <c r="L356" s="4">
        <f t="shared" si="18"/>
        <v>563.55252130909093</v>
      </c>
      <c r="M356" s="1" t="s">
        <v>302</v>
      </c>
      <c r="N356" s="87"/>
    </row>
    <row r="357" spans="2:14">
      <c r="B357" s="25"/>
      <c r="G357" s="132" t="s">
        <v>353</v>
      </c>
      <c r="H357" s="3">
        <f>DASHBOARD!$D$54</f>
        <v>60</v>
      </c>
      <c r="I357" s="1">
        <v>8</v>
      </c>
      <c r="J357" s="11">
        <f>SUM(J352:J353)/9.167*DASHBOARD!$D$130</f>
        <v>3.85600523617323</v>
      </c>
      <c r="K357" s="1">
        <f t="shared" si="17"/>
        <v>0</v>
      </c>
      <c r="L357" s="4">
        <f t="shared" si="18"/>
        <v>1850.8825133631503</v>
      </c>
      <c r="M357" s="1" t="s">
        <v>305</v>
      </c>
      <c r="N357" s="87"/>
    </row>
    <row r="358" spans="2:14" ht="63">
      <c r="B358" s="25"/>
      <c r="F358" s="2" t="s">
        <v>466</v>
      </c>
      <c r="G358" s="42" t="s">
        <v>14</v>
      </c>
      <c r="H358" s="3">
        <f>DASHBOARD!$D$35</f>
        <v>24.612000000000002</v>
      </c>
      <c r="I358" s="32">
        <v>8</v>
      </c>
      <c r="J358" s="11">
        <f>SUM(J352:J353)/2.2*DASHBOARD!$D$129</f>
        <v>16.067272727272726</v>
      </c>
      <c r="K358" s="1">
        <f t="shared" si="17"/>
        <v>0</v>
      </c>
      <c r="L358" s="4">
        <f t="shared" si="18"/>
        <v>3163.5817309090912</v>
      </c>
      <c r="M358" s="1" t="s">
        <v>310</v>
      </c>
      <c r="N358" s="87"/>
    </row>
    <row r="359" spans="2:14" ht="31.5">
      <c r="B359" s="25"/>
      <c r="G359" s="42" t="s">
        <v>109</v>
      </c>
      <c r="L359" s="4">
        <f>(L340+L336+L238+L223)*(C6*0.4+2)*D353</f>
        <v>0</v>
      </c>
      <c r="M359" s="1" t="s">
        <v>208</v>
      </c>
      <c r="N359" s="3"/>
    </row>
    <row r="360" spans="2:14" ht="47.25">
      <c r="B360" s="25"/>
      <c r="G360" s="42" t="s">
        <v>204</v>
      </c>
      <c r="L360" s="4">
        <f>'Expanded Contact Investigaton'!L285*(C6*1.6)*0</f>
        <v>0</v>
      </c>
      <c r="M360" s="1" t="s">
        <v>209</v>
      </c>
      <c r="N360" s="3"/>
    </row>
    <row r="361" spans="2:14" ht="23.1" customHeight="1" thickBot="1">
      <c r="B361" s="9" t="s">
        <v>7</v>
      </c>
      <c r="C361" s="10"/>
      <c r="D361" s="14"/>
      <c r="E361" s="20"/>
      <c r="F361" s="14"/>
      <c r="G361" s="10"/>
      <c r="H361" s="549" t="s">
        <v>81</v>
      </c>
      <c r="I361" s="549"/>
      <c r="J361" s="549"/>
      <c r="K361" s="243"/>
      <c r="L361" s="70">
        <f>((C341*D341*F341*L341)+(C341*D341*F342*SUM(L342:L350))+(C341*D351*F351*L351)+(C341*D351*F352*SUM(L352:L360)))/100/C341*100</f>
        <v>4.7603354009827834</v>
      </c>
      <c r="M361" s="69" t="str">
        <f>"Per Person Cost is "&amp;ROUND(L361/100,2)&amp;" and the cost per "&amp;$C$4&amp;" people is "&amp;ROUND(L361/100*$C$4,2)</f>
        <v>Per Person Cost is 0.05 and the cost per 719993 people is 34274.08</v>
      </c>
    </row>
    <row r="362" spans="2:14" ht="19.5" thickBot="1">
      <c r="B362" s="62" t="s">
        <v>53</v>
      </c>
      <c r="C362" s="63">
        <v>100</v>
      </c>
      <c r="D362" s="64" t="s">
        <v>54</v>
      </c>
      <c r="E362" s="59"/>
      <c r="F362" s="58"/>
      <c r="G362" s="57"/>
      <c r="H362" s="60"/>
      <c r="I362" s="61"/>
      <c r="J362" s="57"/>
      <c r="K362" s="57"/>
      <c r="L362" s="65">
        <f>SUM(L24,L223,L238,L336,L340,L361)</f>
        <v>13583.905274979506</v>
      </c>
      <c r="M362" s="69" t="str">
        <f>"Per Person Cost is "&amp;ROUND(L362/100,2)&amp;" and the cost per "&amp;$C$4&amp;" people is "&amp;ROUND(L362/100*$C$4,2)</f>
        <v>Per Person Cost is 135.84 and the cost per 719993 people is 97803167.11</v>
      </c>
    </row>
    <row r="365" spans="2:14" ht="21" customHeight="1">
      <c r="B365" s="554" t="s">
        <v>56</v>
      </c>
      <c r="C365" s="555"/>
    </row>
    <row r="366" spans="2:14">
      <c r="B366" s="68" t="s">
        <v>57</v>
      </c>
      <c r="C366" s="68" t="s">
        <v>92</v>
      </c>
    </row>
    <row r="367" spans="2:14">
      <c r="B367" s="68" t="s">
        <v>60</v>
      </c>
      <c r="C367" s="68" t="s">
        <v>93</v>
      </c>
    </row>
    <row r="368" spans="2:14">
      <c r="B368" s="68"/>
      <c r="C368" s="68" t="s">
        <v>73</v>
      </c>
    </row>
    <row r="369" spans="2:3">
      <c r="B369" s="68" t="s">
        <v>65</v>
      </c>
      <c r="C369" s="68" t="s">
        <v>66</v>
      </c>
    </row>
    <row r="370" spans="2:3">
      <c r="B370" s="68"/>
      <c r="C370" s="68" t="s">
        <v>67</v>
      </c>
    </row>
    <row r="371" spans="2:3">
      <c r="B371" s="68" t="s">
        <v>68</v>
      </c>
      <c r="C371" s="68" t="s">
        <v>69</v>
      </c>
    </row>
    <row r="372" spans="2:3">
      <c r="B372" s="68"/>
      <c r="C372" s="68" t="s">
        <v>70</v>
      </c>
    </row>
    <row r="373" spans="2:3">
      <c r="B373" s="68"/>
      <c r="C373" s="68" t="s">
        <v>94</v>
      </c>
    </row>
    <row r="374" spans="2:3">
      <c r="B374" s="68"/>
      <c r="C374" s="68" t="s">
        <v>95</v>
      </c>
    </row>
    <row r="375" spans="2:3">
      <c r="B375" s="68" t="s">
        <v>71</v>
      </c>
      <c r="C375" s="68" t="s">
        <v>61</v>
      </c>
    </row>
    <row r="376" spans="2:3">
      <c r="B376" s="68"/>
      <c r="C376" s="68" t="s">
        <v>58</v>
      </c>
    </row>
    <row r="377" spans="2:3">
      <c r="B377" s="68" t="s">
        <v>72</v>
      </c>
      <c r="C377" s="68" t="s">
        <v>61</v>
      </c>
    </row>
    <row r="378" spans="2:3">
      <c r="B378" s="68"/>
      <c r="C378" s="68" t="s">
        <v>58</v>
      </c>
    </row>
  </sheetData>
  <sheetProtection algorithmName="SHA-512" hashValue="Wn9b/YHRX3TD3BPrrNiGasgLSvjbD/Vpd/BxS9UuOUEgdDwcbae8Fs2h/OCW2FCZD8Jh/ZOzyCQgJX9Ww7oXoA==" saltValue="FQBz6pAqomUH4lsOIgu9ag==" spinCount="100000" sheet="1" objects="1" scenarios="1"/>
  <mergeCells count="8">
    <mergeCell ref="B365:C365"/>
    <mergeCell ref="H361:J361"/>
    <mergeCell ref="B2:H2"/>
    <mergeCell ref="H24:J24"/>
    <mergeCell ref="H223:J223"/>
    <mergeCell ref="H238:J238"/>
    <mergeCell ref="H336:J336"/>
    <mergeCell ref="H340:J340"/>
  </mergeCells>
  <hyperlinks>
    <hyperlink ref="N17" r:id="rId1" xr:uid="{06DE9E9A-4E80-4E6C-B454-0F76F257C060}"/>
    <hyperlink ref="N34" r:id="rId2" location="srp" xr:uid="{C3C421EC-5043-46F5-AC6F-929A11E4BC2F}"/>
    <hyperlink ref="N33" r:id="rId3" location="srp" xr:uid="{86459A5C-9019-42CF-8B1A-CF55BD2388BE}"/>
    <hyperlink ref="N32" r:id="rId4" xr:uid="{33193786-F230-4EC7-B6AE-2467AEEDF65C}"/>
    <hyperlink ref="N31" r:id="rId5" xr:uid="{31499C12-62EE-4795-9E22-26FC623C96EB}"/>
    <hyperlink ref="N30" r:id="rId6" xr:uid="{41316046-B688-4CEC-A899-93F6CCBE4A7D}"/>
    <hyperlink ref="N224" r:id="rId7" location="ListeFonctPrinc" xr:uid="{C7CB3601-5527-4B3E-8629-7AF65D1F8C04}"/>
    <hyperlink ref="N225" r:id="rId8" display="https://www.caaquebec.com/en/on-the-road/public-interest/gasoline-matters/gasoline-watch/" xr:uid="{F9670CBC-22BC-452C-849A-93E80AB3DB8C}"/>
    <hyperlink ref="N228" r:id="rId9" xr:uid="{1DC3CBA1-F362-47E6-A4AB-EF1617CD428F}"/>
    <hyperlink ref="N227" r:id="rId10" xr:uid="{6C6E30C3-0C67-4C63-887B-83FE78BA8C91}"/>
    <hyperlink ref="N239" r:id="rId11" xr:uid="{B00C23F2-35C5-47AF-A281-4CBBB28DDC55}"/>
    <hyperlink ref="N240" r:id="rId12" xr:uid="{7AACE76D-5849-4A44-8AE4-1BFB4B4CA27F}"/>
    <hyperlink ref="N242" r:id="rId13" xr:uid="{F395849D-3406-463F-87D0-53CF2A1446AE}"/>
    <hyperlink ref="N244" r:id="rId14" xr:uid="{67A62A7D-4DAD-4262-AAD1-1D6A7068D406}"/>
    <hyperlink ref="N245" r:id="rId15" xr:uid="{7E9546F7-B749-4887-A73A-76A1F4A815CB}"/>
    <hyperlink ref="N246" r:id="rId16" xr:uid="{4CD3E6DC-635F-4AB9-BB0C-FB62280CD41E}"/>
    <hyperlink ref="N241" r:id="rId17" xr:uid="{B7E8B52B-DA49-44DA-AB16-385A0CDDB9BD}"/>
    <hyperlink ref="N243" r:id="rId18" xr:uid="{790F2ED3-C355-4C53-A31F-8BAACCC1B8FC}"/>
    <hyperlink ref="N250" r:id="rId19" location="srp" xr:uid="{3D34C2F8-9B51-411A-A2DB-90BEBC4D064E}"/>
    <hyperlink ref="N249" r:id="rId20" location="srp" xr:uid="{8A7CBED3-8383-43AF-AC3D-11F0E4B066D5}"/>
    <hyperlink ref="N248" r:id="rId21" xr:uid="{4A801F4A-1725-44B5-93AE-9F5AC888F636}"/>
    <hyperlink ref="N247" r:id="rId22" xr:uid="{EE3DA39D-A1FE-4A42-810C-3A10B9508251}"/>
    <hyperlink ref="N251" r:id="rId23" xr:uid="{8B9973CD-C843-43F6-858F-C45A7EC41001}"/>
    <hyperlink ref="N252" r:id="rId24" xr:uid="{6575CAC0-59A6-4A43-9724-89EF1EC769FD}"/>
    <hyperlink ref="N253" r:id="rId25" xr:uid="{1FC53278-7B1E-4CFC-A3AA-4DD678B02B6A}"/>
    <hyperlink ref="N254" r:id="rId26" xr:uid="{3A8170FF-3C94-4AEA-9CE5-6E0771AD2B9E}"/>
    <hyperlink ref="N256" r:id="rId27" xr:uid="{F8446B8F-C332-46DE-AAD9-DE0EC4028CAB}"/>
    <hyperlink ref="N258" r:id="rId28" xr:uid="{9A312BB1-88D0-4A16-B6A4-A4082F7E87DE}"/>
    <hyperlink ref="N259" r:id="rId29" xr:uid="{D7DA09E9-9771-46D4-BC54-49E9C617E8C8}"/>
    <hyperlink ref="N260" r:id="rId30" xr:uid="{BA97720A-D694-457B-AAEA-87BDCADBA26E}"/>
    <hyperlink ref="N255" r:id="rId31" xr:uid="{8B7B58E2-4932-48CA-B7FA-D0D42369674C}"/>
    <hyperlink ref="N257" r:id="rId32" xr:uid="{34C25CA9-C0CE-4B09-888F-D9426FE1CD7C}"/>
    <hyperlink ref="N264" r:id="rId33" location="srp" xr:uid="{88886519-5AC4-4D1D-AE45-4F5D28B67C0B}"/>
    <hyperlink ref="N263" r:id="rId34" location="srp" xr:uid="{6F678460-D077-46D1-A4FB-AB5F4CAD98CC}"/>
    <hyperlink ref="N262" r:id="rId35" xr:uid="{3C646F0A-A05D-40F1-96DE-2FBDA5D9721C}"/>
    <hyperlink ref="N261" r:id="rId36" xr:uid="{2A1E34CA-A500-4462-93EC-F80473CEC609}"/>
    <hyperlink ref="N265" r:id="rId37" xr:uid="{3181DD24-EA58-4E46-B9B7-95694B6306FE}"/>
    <hyperlink ref="N266" r:id="rId38" xr:uid="{EA924277-A1F2-42A5-98C0-437945413FB6}"/>
    <hyperlink ref="N117" r:id="rId39" xr:uid="{D58F8109-C419-4DF6-9557-8E0CA19F9101}"/>
    <hyperlink ref="N118" r:id="rId40" xr:uid="{12BB7CA1-99AE-4F74-8617-C0E2A3B4E90B}"/>
    <hyperlink ref="N119" r:id="rId41" xr:uid="{5771C978-E9B9-4995-8447-5B30A4814942}"/>
    <hyperlink ref="N120" r:id="rId42" xr:uid="{46C66FC5-9EA2-4BAE-960A-EBC6F1B1C644}"/>
    <hyperlink ref="N121" r:id="rId43" xr:uid="{EB983F81-6610-425B-9063-321A99A63B3A}"/>
    <hyperlink ref="N127" r:id="rId44" location="srp" xr:uid="{3D3E67ED-500E-473F-B243-29BDB8146DBC}"/>
    <hyperlink ref="N126" r:id="rId45" location="srp" xr:uid="{8C6F7C58-01AD-4F20-8ECB-BE2C088C5069}"/>
    <hyperlink ref="N125" r:id="rId46" xr:uid="{C55FA647-A3E2-4B04-8183-A96C62A575F2}"/>
    <hyperlink ref="N124" r:id="rId47" xr:uid="{CA3A1B9C-8CEF-4733-81A2-0203B8BC9B6D}"/>
    <hyperlink ref="N123" r:id="rId48" xr:uid="{69F58217-9E86-4D78-8665-51C07323B32F}"/>
    <hyperlink ref="N143" r:id="rId49" xr:uid="{C455F886-BC43-4049-B3F6-C236D3CCF5E3}"/>
    <hyperlink ref="N144" r:id="rId50" xr:uid="{F1A836F1-CE19-4818-AB21-31BEC5767571}"/>
    <hyperlink ref="N145" r:id="rId51" xr:uid="{ADD03037-F986-4D68-BFFC-0CE40B704CE1}"/>
    <hyperlink ref="N146" r:id="rId52" xr:uid="{6F3A6C80-BFEB-47EC-8BC6-C50C48341EEC}"/>
    <hyperlink ref="N147" r:id="rId53" xr:uid="{E957979D-76EC-4D48-8FE2-BBD68CD0ACB3}"/>
    <hyperlink ref="N153" r:id="rId54" location="srp" xr:uid="{44862D9C-8DFA-412D-8D45-54D26B5FA8FA}"/>
    <hyperlink ref="N152" r:id="rId55" location="srp" xr:uid="{BD2994DD-5AFE-4DE4-986F-2DC80763D465}"/>
    <hyperlink ref="N151" r:id="rId56" xr:uid="{5748A30D-5ACB-41B0-A1D8-499E22C4FF3B}"/>
    <hyperlink ref="N150" r:id="rId57" xr:uid="{180EA218-8417-4F55-9003-CC1C457539FB}"/>
    <hyperlink ref="N149" r:id="rId58" xr:uid="{A3ECF91A-6873-457E-9627-86AD71686CEF}"/>
    <hyperlink ref="N231" r:id="rId59" location="ListeFonctPrinc" xr:uid="{BBEE3F7D-A13B-4D6B-BDA7-816AADD06689}"/>
    <hyperlink ref="N232" r:id="rId60" display="https://www.caaquebec.com/en/on-the-road/public-interest/gasoline-matters/gasoline-watch/" xr:uid="{8C0C9458-053F-4D54-8D6B-E1D5A23C06C0}"/>
    <hyperlink ref="N235" r:id="rId61" xr:uid="{2845728B-0D6E-48DF-9F1A-06939A8073A7}"/>
    <hyperlink ref="N234" r:id="rId62" xr:uid="{10097E40-5D1F-4A1F-98CF-8884D4D98FF6}"/>
    <hyperlink ref="N29" r:id="rId63" xr:uid="{474AD425-9955-4FCD-8D2C-DB10CC28EFC4}"/>
    <hyperlink ref="N18" r:id="rId64" xr:uid="{E41D3833-9E95-4346-9C55-8BE51799805B}"/>
    <hyperlink ref="N23" r:id="rId65" xr:uid="{E6B15EAD-9D96-429A-90B2-25E97B9B0432}"/>
    <hyperlink ref="N58" r:id="rId66" location="srp" xr:uid="{7ACB96D1-3654-BA4C-93A3-C48D33403123}"/>
    <hyperlink ref="N57" r:id="rId67" location="srp" xr:uid="{6BEA24BB-F470-AB41-B36F-4FB7B7FEF16A}"/>
    <hyperlink ref="N56" r:id="rId68" xr:uid="{267BF951-7D1E-3249-98A8-65902186F038}"/>
    <hyperlink ref="N55" r:id="rId69" xr:uid="{3AB013FC-FED2-D94D-A2A9-1F6F0C82FEB5}"/>
    <hyperlink ref="N54" r:id="rId70" xr:uid="{1A3F2BE5-F168-424E-8764-63028FBCB638}"/>
    <hyperlink ref="N53" r:id="rId71" xr:uid="{71AE16B4-77DB-8448-8B7D-7F7D6EB6D840}"/>
    <hyperlink ref="N74" r:id="rId72" xr:uid="{7C7DD1A7-9552-2440-ADF0-FDE4A2129857}"/>
    <hyperlink ref="N75" r:id="rId73" xr:uid="{A0A7010B-6768-E848-8CFC-A553EAB04C9D}"/>
    <hyperlink ref="N76" r:id="rId74" xr:uid="{9F40A66E-781F-3E47-8C6D-93C9666FC140}"/>
    <hyperlink ref="N81" r:id="rId75" location="srp" xr:uid="{146749A8-4422-524D-B74E-F4B58DCD41C4}"/>
    <hyperlink ref="N80" r:id="rId76" location="srp" xr:uid="{529CF30F-CFDF-F24C-894D-DCF6510BC3E0}"/>
    <hyperlink ref="N79" r:id="rId77" xr:uid="{9DDF039E-C614-154B-B756-B0E4D3B224C5}"/>
    <hyperlink ref="N78" r:id="rId78" xr:uid="{CDBADD17-6103-9B48-9092-60826714CB27}"/>
    <hyperlink ref="N77" r:id="rId79" xr:uid="{9CA6B133-7187-604C-929A-9679D166B1A3}"/>
    <hyperlink ref="N96" r:id="rId80" xr:uid="{AAE0C52D-044C-0F46-9CC0-D38E096B8102}"/>
    <hyperlink ref="N97" r:id="rId81" xr:uid="{FEC07747-A1F6-0E4D-B5BE-850A6FAF8FBC}"/>
    <hyperlink ref="N98" r:id="rId82" xr:uid="{4D61F284-76BA-5641-90FC-65847820A0C0}"/>
    <hyperlink ref="N103" r:id="rId83" location="srp" xr:uid="{7F6DE6D2-A51F-B343-A787-7053CC3BE72C}"/>
    <hyperlink ref="N102" r:id="rId84" location="srp" xr:uid="{0F285645-45F6-8F4B-9E49-50403D2D045E}"/>
    <hyperlink ref="N101" r:id="rId85" xr:uid="{94D6FA85-D06F-594A-B713-06A730BEA837}"/>
    <hyperlink ref="N100" r:id="rId86" xr:uid="{1EFBF78F-A89B-E14E-8F47-57267F9B9B0A}"/>
    <hyperlink ref="N99" r:id="rId87" xr:uid="{51B11F4F-CD31-304A-9DCD-3F97535E330D}"/>
    <hyperlink ref="N41" r:id="rId88" location="?keyword=blood+lancet" display="https://www.fishersci.ca/shop/products/bd-micro-fine-contact-activated-lancet-3/p-3491417 - ?keyword=blood+lancet" xr:uid="{A395DB7A-6A7B-41B8-AC0F-1211D5EFE08E}"/>
    <hyperlink ref="N65" r:id="rId89" location="?keyword=blood+lancet" display="https://www.fishersci.ca/shop/products/bd-micro-fine-contact-activated-lancet-3/p-3491417 - ?keyword=blood+lancet" xr:uid="{5D9D6071-A57C-4569-9CF1-6EF3C2AD4AF7}"/>
    <hyperlink ref="N87" r:id="rId90" location="?keyword=blood+lancet" display="https://www.fishersci.ca/shop/products/bd-micro-fine-contact-activated-lancet-3/p-3491417 - ?keyword=blood+lancet" xr:uid="{39907E9E-1BE9-4A7E-B490-5063A79D3787}"/>
    <hyperlink ref="N109" r:id="rId91" location="?keyword=blood+lancet" display="https://www.fishersci.ca/shop/products/bd-micro-fine-contact-activated-lancet-3/p-3491417 - ?keyword=blood+lancet" xr:uid="{379ED3A8-F597-4E8D-BDE9-6032109DCBB4}"/>
    <hyperlink ref="N135" r:id="rId92" location="?keyword=blood+lancet" display="https://www.fishersci.ca/shop/products/bd-micro-fine-contact-activated-lancet-3/p-3491417 - ?keyword=blood+lancet" xr:uid="{DD3C594E-E4F2-4EA6-AA95-E1F455DF36F2}"/>
    <hyperlink ref="N161" r:id="rId93" location="?keyword=blood+lancet" display="https://www.fishersci.ca/shop/products/bd-micro-fine-contact-activated-lancet-3/p-3491417 - ?keyword=blood+lancet" xr:uid="{E0CFEEF9-1DF9-4019-BE4E-D5DA5E14019F}"/>
    <hyperlink ref="N188" r:id="rId94" location="?keyword=blood+lancet" display="https://www.fishersci.ca/shop/products/bd-micro-fine-contact-activated-lancet-3/p-3491417 - ?keyword=blood+lancet" xr:uid="{23C1B5AA-7080-4D89-95ED-B75203F822F5}"/>
    <hyperlink ref="N215" r:id="rId95" location="?keyword=blood+lancet" display="https://www.fishersci.ca/shop/products/bd-micro-fine-contact-activated-lancet-3/p-3491417 - ?keyword=blood+lancet" xr:uid="{2217140E-5F6C-436F-99B4-611DDC91A5A8}"/>
    <hyperlink ref="N169" r:id="rId96" xr:uid="{5E8912B7-4C4C-4C00-AB7C-88DE17E1646F}"/>
    <hyperlink ref="N170" r:id="rId97" xr:uid="{43651F8E-7CC5-46FD-8DDE-BD47CAF2E819}"/>
    <hyperlink ref="N171" r:id="rId98" xr:uid="{C790C34D-CC38-4D17-A85D-74EB432F911F}"/>
    <hyperlink ref="N196" r:id="rId99" xr:uid="{09214548-E387-4118-9462-A63C8B89605C}"/>
    <hyperlink ref="N197" r:id="rId100" xr:uid="{B2EB8951-9A40-4F7A-8D31-C50E32799B09}"/>
    <hyperlink ref="N198" r:id="rId101" xr:uid="{E70E7289-3391-460B-85C9-A5013C8A76A9}"/>
    <hyperlink ref="N181" r:id="rId102" location="srp" xr:uid="{5120171C-E163-46CC-AB87-FABEDBBF4B12}"/>
    <hyperlink ref="N180" r:id="rId103" location="srp" xr:uid="{4A7EF248-2129-4BEC-9869-95EEC9668F94}"/>
    <hyperlink ref="N179" r:id="rId104" xr:uid="{4B7602DB-FB86-4E6B-9887-DAEA6D22A3A3}"/>
    <hyperlink ref="N178" r:id="rId105" xr:uid="{F90E2876-ADE8-4C59-8BAF-B97B82390DC4}"/>
    <hyperlink ref="N177" r:id="rId106" xr:uid="{F5A31635-08A0-40D6-B8D2-F111B6D31C61}"/>
    <hyperlink ref="N208" r:id="rId107" location="srp" xr:uid="{53685213-59AA-45F4-A361-799A4B36934B}"/>
    <hyperlink ref="N207" r:id="rId108" location="srp" xr:uid="{96351263-E548-4384-8940-A1B774846DCC}"/>
    <hyperlink ref="N206" r:id="rId109" xr:uid="{610404F3-28EE-4225-AB5D-7F52E080B19D}"/>
    <hyperlink ref="N205" r:id="rId110" xr:uid="{CF24EF9E-C96D-445A-85A1-9CF550B39F17}"/>
    <hyperlink ref="N204" r:id="rId111" xr:uid="{9CA91310-E87C-4573-A809-A357B917F2F8}"/>
    <hyperlink ref="N353" r:id="rId112" xr:uid="{754A667B-02E7-4E6D-907F-669CF58193AB}"/>
    <hyperlink ref="N354" r:id="rId113" xr:uid="{3DEA40D8-8FAF-4CAD-A3AF-6F1171096EDF}"/>
    <hyperlink ref="N352" r:id="rId114" xr:uid="{8EA65653-FCB8-456E-9C34-08C2BB36BA27}"/>
    <hyperlink ref="N343" r:id="rId115" xr:uid="{A9300646-96CD-412A-9DC0-7D5ACE83C83D}"/>
    <hyperlink ref="N344" r:id="rId116" xr:uid="{78DCDBC3-3D7E-4A9B-97BF-523BCDFECC29}"/>
    <hyperlink ref="N342" r:id="rId117" xr:uid="{48E98498-8B30-479B-B77E-516BC19FB657}"/>
    <hyperlink ref="N339" r:id="rId118" xr:uid="{3648E912-D11F-48E7-B21B-C450E832EE69}"/>
    <hyperlink ref="N338" r:id="rId119" xr:uid="{F6F6A75F-A539-4FC2-A0E6-F5EE0FD99775}"/>
    <hyperlink ref="N337" r:id="rId120" xr:uid="{001D681D-058E-4B0E-84E0-A8D10EA215B1}"/>
    <hyperlink ref="N267" r:id="rId121" xr:uid="{2EF47C3F-9742-E24F-9315-5A67EE845983}"/>
    <hyperlink ref="N268" r:id="rId122" xr:uid="{FCCC00AB-3EFC-7447-B0DC-26F3954F7EB7}"/>
    <hyperlink ref="N270" r:id="rId123" xr:uid="{4AECDFF9-8237-E145-A5D1-8B09A45AD16F}"/>
    <hyperlink ref="N272" r:id="rId124" xr:uid="{1E67BC6A-9ABF-6342-B126-2B61BDAA28A7}"/>
    <hyperlink ref="N273" r:id="rId125" xr:uid="{CCF24A00-41AF-714D-8807-A0E8C20C3F8C}"/>
    <hyperlink ref="N274" r:id="rId126" xr:uid="{31808A8A-4DA5-6E4A-A396-E7019CA46AB5}"/>
    <hyperlink ref="N269" r:id="rId127" xr:uid="{A9A19B8B-F251-CB40-AB74-270EDE9380C4}"/>
    <hyperlink ref="N271" r:id="rId128" xr:uid="{67367BBC-869D-5D49-91F0-358A89352ABB}"/>
    <hyperlink ref="N278" r:id="rId129" location="srp" xr:uid="{297F3BA0-FACB-244D-A152-C62FC5E49B13}"/>
    <hyperlink ref="N277" r:id="rId130" location="srp" xr:uid="{D241AF7E-2F67-5E4F-8559-0EE4AE9EC675}"/>
    <hyperlink ref="N276" r:id="rId131" xr:uid="{2146F022-C070-6A4D-A52D-53EBF030EEFD}"/>
    <hyperlink ref="N275" r:id="rId132" xr:uid="{5B38DE03-0CE8-2B48-84E0-08E58DD57B8A}"/>
    <hyperlink ref="N279" r:id="rId133" xr:uid="{298EDE24-2CB8-A54E-BFAA-EADE13299D3E}"/>
    <hyperlink ref="N280" r:id="rId134" xr:uid="{67615F60-E674-B04A-B599-C40AE916E0B8}"/>
    <hyperlink ref="N281" r:id="rId135" xr:uid="{20EA7139-A28C-E446-BB74-F09D096CA73D}"/>
    <hyperlink ref="N282" r:id="rId136" xr:uid="{42521706-19DA-5D49-845F-296427D650EE}"/>
    <hyperlink ref="N284" r:id="rId137" xr:uid="{9334625A-9ADD-004E-BAB3-A8171C8E2F1B}"/>
    <hyperlink ref="N286" r:id="rId138" xr:uid="{E85D26FC-3340-5144-8813-E55D84EF9DBF}"/>
    <hyperlink ref="N287" r:id="rId139" xr:uid="{CA691231-D579-264C-8375-00E280381B14}"/>
    <hyperlink ref="N288" r:id="rId140" xr:uid="{5184086C-9738-5846-BC83-FE06CBABA4DF}"/>
    <hyperlink ref="N283" r:id="rId141" xr:uid="{37485D2B-1E43-F544-8826-2026E5EE9853}"/>
    <hyperlink ref="N285" r:id="rId142" xr:uid="{360465A6-5590-D64E-84E8-6D3693FD636F}"/>
    <hyperlink ref="N292" r:id="rId143" location="srp" xr:uid="{62FBEE4E-5AFD-1A4B-A5EC-92F0AA282393}"/>
    <hyperlink ref="N291" r:id="rId144" location="srp" xr:uid="{6E1F6CBA-EF19-8B4E-8E57-8834DB3B8BEB}"/>
    <hyperlink ref="N290" r:id="rId145" xr:uid="{15EE63CB-B809-BE43-BADF-F87047EE7A0A}"/>
    <hyperlink ref="N289" r:id="rId146" xr:uid="{07BF8CFB-D9B6-CB4F-96D8-D4819325046B}"/>
    <hyperlink ref="N293" r:id="rId147" xr:uid="{47E0FEA8-DF9B-E740-99F0-D6F3D1205979}"/>
    <hyperlink ref="N294" r:id="rId148" xr:uid="{F83AE1A2-50B0-8E48-A19A-5F3018D2F37E}"/>
    <hyperlink ref="N295" r:id="rId149" xr:uid="{6A87659E-C2C5-CD41-91B3-BDEB7A3D9F72}"/>
    <hyperlink ref="N296" r:id="rId150" xr:uid="{BE173E8E-7AD1-4044-B32D-C6E36870EF6C}"/>
    <hyperlink ref="N298" r:id="rId151" xr:uid="{33CE126F-C49C-844E-8F3C-63C83D7E43C6}"/>
    <hyperlink ref="N300" r:id="rId152" xr:uid="{4E09404A-F7D3-3E4E-AD4F-ED45D3DC39AC}"/>
    <hyperlink ref="N301" r:id="rId153" xr:uid="{F17BF9F8-CE34-9D46-BA6E-1A0F01A30720}"/>
    <hyperlink ref="N302" r:id="rId154" xr:uid="{3720DE62-EAA0-EF4C-B901-F2FBA977D601}"/>
    <hyperlink ref="N297" r:id="rId155" xr:uid="{FE95E3FB-CF46-D24F-AE4B-2A2CA86A2435}"/>
    <hyperlink ref="N299" r:id="rId156" xr:uid="{263EF23C-8114-C14F-826B-C686F9B97BDB}"/>
    <hyperlink ref="N306" r:id="rId157" location="srp" xr:uid="{CD327D95-19BE-C349-97EC-B0E1A71C6DFC}"/>
    <hyperlink ref="N305" r:id="rId158" location="srp" xr:uid="{BA002292-CB6E-5A41-B5E2-901C48A7DDFB}"/>
    <hyperlink ref="N304" r:id="rId159" xr:uid="{F287F135-366B-914E-9269-49A684096DF8}"/>
    <hyperlink ref="N303" r:id="rId160" xr:uid="{CCEAC955-7292-EB4E-A7BD-940E782A994B}"/>
    <hyperlink ref="N307" r:id="rId161" xr:uid="{BF174C31-6AAC-FC4A-911B-F24DB9D37C27}"/>
    <hyperlink ref="N308" r:id="rId162" xr:uid="{DEF4F140-2137-1440-9B68-11641CF711E7}"/>
    <hyperlink ref="N309" r:id="rId163" xr:uid="{20183E36-9869-084A-91FE-959A846D5E00}"/>
    <hyperlink ref="N310" r:id="rId164" xr:uid="{938425F0-4F88-D546-BD00-B5D54A68D2FD}"/>
    <hyperlink ref="N312" r:id="rId165" xr:uid="{80F2EF17-0A83-944F-96A7-D1A77E76DFB1}"/>
    <hyperlink ref="N314" r:id="rId166" xr:uid="{F4CAD9E5-C9AA-A440-942A-0758BF2A40BD}"/>
    <hyperlink ref="N315" r:id="rId167" xr:uid="{5E3A779F-2EF5-B249-97A7-FBC92901FA98}"/>
    <hyperlink ref="N316" r:id="rId168" xr:uid="{9241E6C8-909E-5D4D-A62D-B8A7644C429E}"/>
    <hyperlink ref="N311" r:id="rId169" xr:uid="{3C6D6DA7-2CE7-8F44-9C57-6310790F61E8}"/>
    <hyperlink ref="N313" r:id="rId170" xr:uid="{D59647E5-D1A4-1A43-8096-1CDE1303D1D3}"/>
    <hyperlink ref="N320" r:id="rId171" location="srp" xr:uid="{82154359-43CB-F648-B294-EB60ABE8A4C6}"/>
    <hyperlink ref="N319" r:id="rId172" location="srp" xr:uid="{3E8A772D-71D7-EA43-91AB-966A8912B1E3}"/>
    <hyperlink ref="N318" r:id="rId173" xr:uid="{C6579DD2-5A45-F641-AC11-F0959276F406}"/>
    <hyperlink ref="N317" r:id="rId174" xr:uid="{EC65242C-4F1C-F04F-9B3E-FBDBF668339A}"/>
    <hyperlink ref="N321" r:id="rId175" xr:uid="{B4553BEE-73D4-5F43-85F2-85E7F8AE2911}"/>
    <hyperlink ref="N322" r:id="rId176" xr:uid="{C244BBA9-5B3F-9F44-865F-9B7C0958EA18}"/>
    <hyperlink ref="N230" r:id="rId177" xr:uid="{DFFD2691-F81C-CD41-A03C-62EA6FE61584}"/>
    <hyperlink ref="N229" r:id="rId178" xr:uid="{EB7CF14D-9324-6A42-902F-CF1867F035FC}"/>
    <hyperlink ref="N237" r:id="rId179" xr:uid="{7BAB73A1-6399-5F4D-97A0-54FD85D817E1}"/>
    <hyperlink ref="N236" r:id="rId180" xr:uid="{4A53FFB0-5BD0-AD41-93A1-835DA3C94A8B}"/>
    <hyperlink ref="N323" r:id="rId181" xr:uid="{58E2C3FC-6A62-4848-B0A0-A8E8396E94BE}"/>
    <hyperlink ref="N324" r:id="rId182" xr:uid="{26B1A945-141E-FD41-B501-A23FBECD3419}"/>
    <hyperlink ref="N326" r:id="rId183" xr:uid="{CBB2514C-A977-1746-8C77-6F45DC504417}"/>
    <hyperlink ref="N328" r:id="rId184" xr:uid="{4FD8C921-F5AD-F640-AE18-E1C14DDB2515}"/>
    <hyperlink ref="N329" r:id="rId185" xr:uid="{59DFCBD3-7FFF-CB48-A97D-4012BC11D909}"/>
    <hyperlink ref="N330" r:id="rId186" xr:uid="{AEA85BF7-F69F-084C-A09F-FF34A3C2255E}"/>
    <hyperlink ref="N325" r:id="rId187" xr:uid="{D629ED1C-1402-4A41-862D-06B56DA8C1CB}"/>
    <hyperlink ref="N327" r:id="rId188" xr:uid="{22670104-3DDB-3543-B289-4A5C486DF96B}"/>
    <hyperlink ref="N334" r:id="rId189" location="srp" xr:uid="{7E23A6E5-CE70-314B-A1FB-305D003C4B52}"/>
    <hyperlink ref="N333" r:id="rId190" location="srp" xr:uid="{B1D57F29-DD48-C048-8147-25902BA97C23}"/>
    <hyperlink ref="N332" r:id="rId191" xr:uid="{C7F8FAE4-E83C-454F-9833-759A24522ECB}"/>
    <hyperlink ref="N331" r:id="rId192" xr:uid="{640AB160-5AD5-294B-9D46-04B20C52138C}"/>
    <hyperlink ref="N335" r:id="rId193" xr:uid="{5088C8FF-533A-244C-A65A-1BA5A7AD803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DASHBOARD</vt:lpstr>
      <vt:lpstr>Current Strategy</vt:lpstr>
      <vt:lpstr>Expanded Contact Investigaton</vt:lpstr>
      <vt:lpstr>Testing CHW LTCF Employees+Res</vt:lpstr>
      <vt:lpstr>Testing Hospital Employees</vt:lpstr>
      <vt:lpstr>Testing Essential Workers</vt:lpstr>
      <vt:lpstr>Testing Schoolchildren &amp; Staff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Aashna Uppal</dc:creator>
  <cp:lastModifiedBy>jcampbell</cp:lastModifiedBy>
  <dcterms:created xsi:type="dcterms:W3CDTF">2020-04-05T19:19:37Z</dcterms:created>
  <dcterms:modified xsi:type="dcterms:W3CDTF">2020-07-28T22:24:31Z</dcterms:modified>
</cp:coreProperties>
</file>